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0" windowWidth="22425" windowHeight="8580"/>
  </bookViews>
  <sheets>
    <sheet name="Data" sheetId="1" r:id="rId1"/>
    <sheet name="Definitions" sheetId="2" r:id="rId2"/>
    <sheet name="Sheet3" sheetId="3" r:id="rId3"/>
  </sheets>
  <calcPr calcId="144525"/>
</workbook>
</file>

<file path=xl/calcChain.xml><?xml version="1.0" encoding="utf-8"?>
<calcChain xmlns="http://schemas.openxmlformats.org/spreadsheetml/2006/main">
  <c r="D95" i="1" l="1"/>
  <c r="D94" i="1"/>
  <c r="D93" i="1"/>
  <c r="C95" i="1"/>
  <c r="C94" i="1"/>
  <c r="C93" i="1"/>
  <c r="D96" i="1" l="1"/>
  <c r="C96" i="1"/>
  <c r="D2053" i="1" l="1"/>
  <c r="C2053" i="1"/>
  <c r="D2052" i="1"/>
  <c r="C2052" i="1"/>
  <c r="D2051" i="1"/>
  <c r="C2051" i="1"/>
  <c r="D2050" i="1"/>
  <c r="C2050" i="1"/>
  <c r="D2049" i="1"/>
  <c r="C2049" i="1"/>
  <c r="D2048" i="1"/>
  <c r="C2048" i="1"/>
  <c r="D2047" i="1"/>
  <c r="C2047" i="1"/>
  <c r="D2046" i="1"/>
  <c r="C2046" i="1"/>
  <c r="D2045" i="1"/>
  <c r="C2045" i="1"/>
  <c r="D2044" i="1"/>
  <c r="C2044" i="1"/>
  <c r="D2043" i="1"/>
  <c r="C2043" i="1"/>
  <c r="D2042" i="1"/>
  <c r="C2042" i="1"/>
  <c r="D1132" i="1"/>
  <c r="C1132" i="1"/>
  <c r="D2054" i="1"/>
  <c r="C2054" i="1"/>
  <c r="D1184" i="1"/>
  <c r="C1184" i="1"/>
  <c r="D415" i="1"/>
  <c r="C415" i="1"/>
  <c r="D1567" i="1"/>
  <c r="C1567" i="1"/>
  <c r="D1568" i="1"/>
  <c r="C1568" i="1"/>
  <c r="D605" i="1"/>
  <c r="C605" i="1"/>
  <c r="D604" i="1"/>
  <c r="C604" i="1"/>
  <c r="D745" i="1"/>
  <c r="C745" i="1"/>
  <c r="D744" i="1"/>
  <c r="C744" i="1"/>
  <c r="D743" i="1"/>
  <c r="C743" i="1"/>
  <c r="D742" i="1"/>
  <c r="C742" i="1"/>
  <c r="D741" i="1"/>
  <c r="C741" i="1"/>
  <c r="D740" i="1"/>
  <c r="C740" i="1"/>
  <c r="D739" i="1"/>
  <c r="C739" i="1"/>
  <c r="D738" i="1"/>
  <c r="C738" i="1"/>
  <c r="D737" i="1"/>
  <c r="C737" i="1"/>
  <c r="D736" i="1"/>
  <c r="C736" i="1"/>
  <c r="D735" i="1"/>
  <c r="C735" i="1"/>
  <c r="D550" i="1"/>
  <c r="C550" i="1"/>
  <c r="D549" i="1"/>
  <c r="C549" i="1"/>
  <c r="D548" i="1"/>
  <c r="C548" i="1"/>
  <c r="D547" i="1"/>
  <c r="C547" i="1"/>
  <c r="D546" i="1"/>
  <c r="C546" i="1"/>
  <c r="D545" i="1"/>
  <c r="C545" i="1"/>
  <c r="D544" i="1"/>
  <c r="C544" i="1"/>
  <c r="D543" i="1"/>
  <c r="C543" i="1"/>
  <c r="D542" i="1"/>
  <c r="C542" i="1"/>
  <c r="D541" i="1"/>
  <c r="C541" i="1"/>
  <c r="D540" i="1"/>
  <c r="C540" i="1"/>
  <c r="D539" i="1"/>
  <c r="C539" i="1"/>
  <c r="D734" i="1"/>
  <c r="C734" i="1"/>
  <c r="D370" i="1"/>
  <c r="C370" i="1"/>
  <c r="D369" i="1"/>
  <c r="C369" i="1"/>
  <c r="D368" i="1"/>
  <c r="C368" i="1"/>
  <c r="D367" i="1"/>
  <c r="C367" i="1"/>
  <c r="D366" i="1"/>
  <c r="C366" i="1"/>
  <c r="D365" i="1"/>
  <c r="C365" i="1"/>
  <c r="D364" i="1"/>
  <c r="C364" i="1"/>
  <c r="D363" i="1"/>
  <c r="C363" i="1"/>
  <c r="D362" i="1"/>
  <c r="C362" i="1"/>
  <c r="O1068" i="1" l="1"/>
  <c r="O1079" i="1"/>
  <c r="O1078" i="1"/>
  <c r="O1077" i="1"/>
  <c r="O1076" i="1"/>
  <c r="O905" i="1"/>
  <c r="O904" i="1"/>
  <c r="O903" i="1"/>
  <c r="O902" i="1"/>
  <c r="D1075" i="1" l="1"/>
  <c r="C1075" i="1"/>
  <c r="D1074" i="1"/>
  <c r="C1074" i="1"/>
  <c r="D1073" i="1"/>
  <c r="C1073" i="1"/>
  <c r="D1072" i="1"/>
  <c r="C1072" i="1"/>
  <c r="C499" i="1"/>
  <c r="D499" i="1"/>
  <c r="C498" i="1"/>
  <c r="D498" i="1"/>
  <c r="C497" i="1"/>
  <c r="D497" i="1"/>
  <c r="C496" i="1"/>
  <c r="D496" i="1"/>
  <c r="C495" i="1"/>
  <c r="D495" i="1"/>
  <c r="C494" i="1"/>
  <c r="D494" i="1"/>
  <c r="C493" i="1"/>
  <c r="D493" i="1"/>
  <c r="C492" i="1"/>
  <c r="D492" i="1"/>
  <c r="C491" i="1"/>
  <c r="D491" i="1"/>
  <c r="C490" i="1"/>
  <c r="D490" i="1"/>
  <c r="C489" i="1"/>
  <c r="D489" i="1"/>
  <c r="C488" i="1"/>
  <c r="D488" i="1"/>
  <c r="D661" i="1"/>
  <c r="C661" i="1"/>
  <c r="D663" i="1"/>
  <c r="C663" i="1"/>
  <c r="D662" i="1"/>
  <c r="C662" i="1"/>
  <c r="D1597" i="1"/>
  <c r="C1597" i="1"/>
  <c r="D1596" i="1"/>
  <c r="C1596" i="1"/>
  <c r="D1595" i="1"/>
  <c r="C1595" i="1"/>
  <c r="D1594" i="1"/>
  <c r="C1594" i="1"/>
  <c r="D1593" i="1"/>
  <c r="C1593" i="1"/>
  <c r="D1592" i="1"/>
  <c r="C1592" i="1"/>
  <c r="D1591" i="1"/>
  <c r="C1591" i="1"/>
  <c r="D1590" i="1"/>
  <c r="C1590" i="1"/>
  <c r="D1589" i="1"/>
  <c r="C1589" i="1"/>
  <c r="D1588" i="1"/>
  <c r="C1588" i="1"/>
  <c r="D1587" i="1"/>
  <c r="C1587" i="1"/>
  <c r="D1586" i="1"/>
  <c r="C1586" i="1"/>
  <c r="D1336" i="1"/>
  <c r="C1336" i="1"/>
  <c r="C1114" i="1"/>
  <c r="D1117" i="1"/>
  <c r="C1117" i="1"/>
  <c r="D1116" i="1"/>
  <c r="C1116" i="1"/>
  <c r="D2038" i="1"/>
  <c r="C2038" i="1"/>
  <c r="D1572" i="1"/>
  <c r="C1572" i="1"/>
  <c r="D1966" i="1"/>
  <c r="C1966" i="1"/>
  <c r="D1965" i="1"/>
  <c r="C1965" i="1"/>
  <c r="D1964" i="1"/>
  <c r="C1964" i="1"/>
  <c r="D1963" i="1"/>
  <c r="C1963" i="1"/>
  <c r="D1962" i="1"/>
  <c r="C1962" i="1"/>
  <c r="D1961" i="1"/>
  <c r="C1961" i="1"/>
  <c r="D1960" i="1"/>
  <c r="C1960" i="1"/>
  <c r="D1959" i="1"/>
  <c r="C1959" i="1"/>
  <c r="D1958" i="1"/>
  <c r="C1958" i="1"/>
  <c r="D1957" i="1"/>
  <c r="C1957" i="1"/>
  <c r="D1956" i="1"/>
  <c r="C1956" i="1"/>
  <c r="D1955" i="1"/>
  <c r="C1955" i="1"/>
  <c r="D1787" i="1"/>
  <c r="C1787" i="1"/>
  <c r="D1786" i="1"/>
  <c r="C1786" i="1"/>
  <c r="D1785" i="1"/>
  <c r="C1785" i="1"/>
  <c r="D1784" i="1"/>
  <c r="C1784" i="1"/>
  <c r="D1783" i="1"/>
  <c r="C1783" i="1"/>
  <c r="D1782" i="1"/>
  <c r="C1782" i="1"/>
  <c r="D1781" i="1"/>
  <c r="C1781" i="1"/>
  <c r="D1780" i="1"/>
  <c r="C1780" i="1"/>
  <c r="D1779" i="1"/>
  <c r="C1779" i="1"/>
  <c r="D1778" i="1"/>
  <c r="C1778" i="1"/>
  <c r="D1777" i="1"/>
  <c r="C1777" i="1"/>
  <c r="D1776" i="1"/>
  <c r="C1776" i="1"/>
  <c r="D1920" i="1"/>
  <c r="C1920" i="1"/>
  <c r="D1919" i="1"/>
  <c r="C1919" i="1"/>
  <c r="D1918" i="1"/>
  <c r="C1918" i="1"/>
  <c r="D1917" i="1"/>
  <c r="C1917" i="1"/>
  <c r="D1916" i="1"/>
  <c r="C1916" i="1"/>
  <c r="D1915" i="1"/>
  <c r="C1915" i="1"/>
  <c r="D1914" i="1"/>
  <c r="C1914" i="1"/>
  <c r="D1913" i="1"/>
  <c r="C1913" i="1"/>
  <c r="D1912" i="1"/>
  <c r="C1912" i="1"/>
  <c r="D1911" i="1"/>
  <c r="C1911" i="1"/>
  <c r="D1910" i="1"/>
  <c r="C1910" i="1"/>
  <c r="D1909" i="1"/>
  <c r="C1909" i="1"/>
  <c r="D1709" i="1"/>
  <c r="C1709" i="1"/>
  <c r="D1708" i="1"/>
  <c r="C1708" i="1"/>
  <c r="D1707" i="1"/>
  <c r="C1707" i="1"/>
  <c r="D1706" i="1"/>
  <c r="C1706" i="1"/>
  <c r="D1705" i="1"/>
  <c r="C1705" i="1"/>
  <c r="D1704" i="1"/>
  <c r="C1704" i="1"/>
  <c r="D1703" i="1"/>
  <c r="C1703" i="1"/>
  <c r="D1702" i="1"/>
  <c r="C1702" i="1"/>
  <c r="D1701" i="1"/>
  <c r="C1701" i="1"/>
  <c r="D1700" i="1"/>
  <c r="C1700" i="1"/>
  <c r="D1699" i="1"/>
  <c r="C1699" i="1"/>
  <c r="D1698" i="1"/>
  <c r="C1698" i="1"/>
  <c r="D1864" i="1"/>
  <c r="C1864" i="1"/>
  <c r="D1863" i="1"/>
  <c r="C1863" i="1"/>
  <c r="D1862" i="1"/>
  <c r="C1862" i="1"/>
  <c r="D1861" i="1"/>
  <c r="C1861" i="1"/>
  <c r="D1860" i="1"/>
  <c r="C1860" i="1"/>
  <c r="D1859" i="1"/>
  <c r="C1859" i="1"/>
  <c r="D1858" i="1"/>
  <c r="C1858" i="1"/>
  <c r="D1857" i="1"/>
  <c r="C1857" i="1"/>
  <c r="D1856" i="1"/>
  <c r="C1856" i="1"/>
  <c r="D1855" i="1"/>
  <c r="C1855" i="1"/>
  <c r="D1854" i="1"/>
  <c r="C1854" i="1"/>
  <c r="D1853" i="1"/>
  <c r="C1853" i="1"/>
  <c r="D1746" i="1"/>
  <c r="C1746" i="1"/>
  <c r="D1745" i="1"/>
  <c r="C1745" i="1"/>
  <c r="D1744" i="1"/>
  <c r="C1744" i="1"/>
  <c r="D1743" i="1"/>
  <c r="C1743" i="1"/>
  <c r="D1742" i="1"/>
  <c r="C1742" i="1"/>
  <c r="D1741" i="1"/>
  <c r="C1741" i="1"/>
  <c r="D1740" i="1"/>
  <c r="C1740" i="1"/>
  <c r="D1739" i="1"/>
  <c r="C1739" i="1"/>
  <c r="D1738" i="1"/>
  <c r="C1738" i="1"/>
  <c r="D1737" i="1"/>
  <c r="C1737" i="1"/>
  <c r="D1736" i="1"/>
  <c r="C1736" i="1"/>
  <c r="D1735" i="1"/>
  <c r="C1735" i="1"/>
  <c r="D1659" i="1"/>
  <c r="C1659" i="1"/>
  <c r="D1658" i="1"/>
  <c r="C1658" i="1"/>
  <c r="D1657" i="1"/>
  <c r="C1657" i="1"/>
  <c r="D1656" i="1"/>
  <c r="C1656" i="1"/>
  <c r="D1655" i="1"/>
  <c r="C1655" i="1"/>
  <c r="D1654" i="1"/>
  <c r="C1654" i="1"/>
  <c r="D1653" i="1"/>
  <c r="C1653" i="1"/>
  <c r="D1652" i="1"/>
  <c r="C1652" i="1"/>
  <c r="D1651" i="1"/>
  <c r="C1651" i="1"/>
  <c r="D1650" i="1"/>
  <c r="C1650" i="1"/>
  <c r="D1649" i="1"/>
  <c r="C1649" i="1"/>
  <c r="D1648" i="1"/>
  <c r="C1648" i="1"/>
  <c r="D1954" i="1"/>
  <c r="C1954" i="1"/>
  <c r="D1953" i="1"/>
  <c r="C1953" i="1"/>
  <c r="D1952" i="1"/>
  <c r="C1952" i="1"/>
  <c r="D1951" i="1"/>
  <c r="C1951" i="1"/>
  <c r="D1950" i="1"/>
  <c r="C1950" i="1"/>
  <c r="D1949" i="1"/>
  <c r="C1949" i="1"/>
  <c r="D1948" i="1"/>
  <c r="C1948" i="1"/>
  <c r="D1947" i="1"/>
  <c r="C1947" i="1"/>
  <c r="D1946" i="1"/>
  <c r="C1946" i="1"/>
  <c r="D1945" i="1"/>
  <c r="C1945" i="1"/>
  <c r="D1944" i="1"/>
  <c r="C1944" i="1"/>
  <c r="D1943" i="1"/>
  <c r="C1943" i="1"/>
  <c r="D1775" i="1"/>
  <c r="C1775" i="1"/>
  <c r="D1774" i="1"/>
  <c r="C1774" i="1"/>
  <c r="D1773" i="1"/>
  <c r="C1773" i="1"/>
  <c r="D1772" i="1"/>
  <c r="C1772" i="1"/>
  <c r="D1771" i="1"/>
  <c r="C1771" i="1"/>
  <c r="D1770" i="1"/>
  <c r="C1770" i="1"/>
  <c r="D1769" i="1"/>
  <c r="C1769" i="1"/>
  <c r="D1768" i="1"/>
  <c r="C1768" i="1"/>
  <c r="D1767" i="1"/>
  <c r="C1767" i="1"/>
  <c r="D1766" i="1"/>
  <c r="C1766" i="1"/>
  <c r="D1765" i="1"/>
  <c r="C1765" i="1"/>
  <c r="D1764" i="1"/>
  <c r="C1764" i="1"/>
  <c r="D1908" i="1"/>
  <c r="C1908" i="1"/>
  <c r="D1907" i="1"/>
  <c r="C1907" i="1"/>
  <c r="D1906" i="1"/>
  <c r="C1906" i="1"/>
  <c r="D1905" i="1"/>
  <c r="C1905" i="1"/>
  <c r="D1904" i="1"/>
  <c r="C1904" i="1"/>
  <c r="D1903" i="1"/>
  <c r="C1903" i="1"/>
  <c r="D1902" i="1"/>
  <c r="C1902" i="1"/>
  <c r="D1901" i="1"/>
  <c r="C1901" i="1"/>
  <c r="D1900" i="1"/>
  <c r="C1900" i="1"/>
  <c r="D1899" i="1"/>
  <c r="C1899" i="1"/>
  <c r="D1898" i="1"/>
  <c r="C1898" i="1"/>
  <c r="D1897" i="1"/>
  <c r="C1897" i="1"/>
  <c r="D1697" i="1"/>
  <c r="C1697" i="1"/>
  <c r="D1696" i="1"/>
  <c r="C1696" i="1"/>
  <c r="D1695" i="1"/>
  <c r="C1695" i="1"/>
  <c r="D1694" i="1"/>
  <c r="C1694" i="1"/>
  <c r="D1693" i="1"/>
  <c r="C1693" i="1"/>
  <c r="D1692" i="1"/>
  <c r="C1692" i="1"/>
  <c r="D1691" i="1"/>
  <c r="C1691" i="1"/>
  <c r="D1690" i="1"/>
  <c r="C1690" i="1"/>
  <c r="D1689" i="1"/>
  <c r="C1689" i="1"/>
  <c r="D1688" i="1"/>
  <c r="C1688" i="1"/>
  <c r="D1687" i="1"/>
  <c r="C1687" i="1"/>
  <c r="D1686" i="1"/>
  <c r="C1686" i="1"/>
  <c r="D1852" i="1"/>
  <c r="C1852" i="1"/>
  <c r="D1851" i="1"/>
  <c r="C1851" i="1"/>
  <c r="D1850" i="1"/>
  <c r="C1850" i="1"/>
  <c r="D1849" i="1"/>
  <c r="C1849" i="1"/>
  <c r="D1848" i="1"/>
  <c r="C1848" i="1"/>
  <c r="D1847" i="1"/>
  <c r="C1847" i="1"/>
  <c r="D1846" i="1"/>
  <c r="C1846" i="1"/>
  <c r="D1845" i="1"/>
  <c r="C1845" i="1"/>
  <c r="D1844" i="1"/>
  <c r="C1844" i="1"/>
  <c r="D1843" i="1"/>
  <c r="C1843" i="1"/>
  <c r="D1842" i="1"/>
  <c r="C1842" i="1"/>
  <c r="D1841" i="1"/>
  <c r="C1841" i="1"/>
  <c r="D1734" i="1"/>
  <c r="C1734" i="1"/>
  <c r="D1733" i="1"/>
  <c r="C1733" i="1"/>
  <c r="D1732" i="1"/>
  <c r="C1732" i="1"/>
  <c r="D1731" i="1"/>
  <c r="C1731" i="1"/>
  <c r="D1730" i="1"/>
  <c r="C1730" i="1"/>
  <c r="D1729" i="1"/>
  <c r="C1729" i="1"/>
  <c r="D1728" i="1"/>
  <c r="C1728" i="1"/>
  <c r="D1727" i="1"/>
  <c r="C1727" i="1"/>
  <c r="D1726" i="1"/>
  <c r="C1726" i="1"/>
  <c r="D1725" i="1"/>
  <c r="C1725" i="1"/>
  <c r="D1724" i="1"/>
  <c r="C1724" i="1"/>
  <c r="D1723" i="1"/>
  <c r="C1723" i="1"/>
  <c r="D1647" i="1"/>
  <c r="C1647" i="1"/>
  <c r="D1646" i="1"/>
  <c r="C1646" i="1"/>
  <c r="D1645" i="1"/>
  <c r="C1645" i="1"/>
  <c r="D1644" i="1"/>
  <c r="C1644" i="1"/>
  <c r="D1643" i="1"/>
  <c r="C1643" i="1"/>
  <c r="D1642" i="1"/>
  <c r="C1642" i="1"/>
  <c r="D1641" i="1"/>
  <c r="C1641" i="1"/>
  <c r="D1640" i="1"/>
  <c r="C1640" i="1"/>
  <c r="D1639" i="1"/>
  <c r="C1639" i="1"/>
  <c r="D1638" i="1"/>
  <c r="C1638" i="1"/>
  <c r="D1637" i="1"/>
  <c r="C1637" i="1"/>
  <c r="D1636" i="1"/>
  <c r="C1636" i="1"/>
  <c r="D1942" i="1"/>
  <c r="C1942" i="1"/>
  <c r="D1941" i="1"/>
  <c r="C1941" i="1"/>
  <c r="D1940" i="1"/>
  <c r="C1940" i="1"/>
  <c r="D1939" i="1"/>
  <c r="C1939" i="1"/>
  <c r="D1938" i="1"/>
  <c r="C1938" i="1"/>
  <c r="D1937" i="1"/>
  <c r="C1937" i="1"/>
  <c r="D1936" i="1"/>
  <c r="C1936" i="1"/>
  <c r="D1935" i="1"/>
  <c r="C1935" i="1"/>
  <c r="D1934" i="1"/>
  <c r="C1934" i="1"/>
  <c r="D1933" i="1"/>
  <c r="C1933" i="1"/>
  <c r="D1932" i="1"/>
  <c r="C1932" i="1"/>
  <c r="D1763" i="1"/>
  <c r="C1763" i="1"/>
  <c r="D1762" i="1"/>
  <c r="C1762" i="1"/>
  <c r="D1761" i="1"/>
  <c r="C1761" i="1"/>
  <c r="D1760" i="1"/>
  <c r="C1760" i="1"/>
  <c r="D1759" i="1"/>
  <c r="C1759" i="1"/>
  <c r="D1758" i="1"/>
  <c r="C1758" i="1"/>
  <c r="D1757" i="1"/>
  <c r="C1757" i="1"/>
  <c r="D1756" i="1"/>
  <c r="C1756" i="1"/>
  <c r="D1755" i="1"/>
  <c r="C1755" i="1"/>
  <c r="D1754" i="1"/>
  <c r="C1754" i="1"/>
  <c r="D1753" i="1"/>
  <c r="C1753" i="1"/>
  <c r="D1896" i="1"/>
  <c r="C1896" i="1"/>
  <c r="D1895" i="1"/>
  <c r="C1895" i="1"/>
  <c r="D1894" i="1"/>
  <c r="C1894" i="1"/>
  <c r="C1752" i="1"/>
  <c r="D1752" i="1"/>
  <c r="D1893" i="1"/>
  <c r="C1893" i="1"/>
  <c r="D1892" i="1"/>
  <c r="C1892" i="1"/>
  <c r="D1891" i="1"/>
  <c r="C1891" i="1"/>
  <c r="D1890" i="1"/>
  <c r="C1890" i="1"/>
  <c r="D1889" i="1"/>
  <c r="C1889" i="1"/>
  <c r="D1888" i="1"/>
  <c r="C1888" i="1"/>
  <c r="D1887" i="1"/>
  <c r="C1887" i="1"/>
  <c r="D1886" i="1"/>
  <c r="C1886" i="1"/>
  <c r="D1685" i="1"/>
  <c r="C1685" i="1"/>
  <c r="D1684" i="1"/>
  <c r="C1684" i="1"/>
  <c r="D1683" i="1"/>
  <c r="C1683" i="1"/>
  <c r="D1682" i="1"/>
  <c r="C1682" i="1"/>
  <c r="D1681" i="1"/>
  <c r="C1681" i="1"/>
  <c r="D1680" i="1"/>
  <c r="C1680" i="1"/>
  <c r="D1679" i="1"/>
  <c r="C1679" i="1"/>
  <c r="D1678" i="1"/>
  <c r="C1678" i="1"/>
  <c r="D1677" i="1"/>
  <c r="C1677" i="1"/>
  <c r="D1676" i="1"/>
  <c r="C1676" i="1"/>
  <c r="D1675" i="1"/>
  <c r="C1675" i="1"/>
  <c r="D1840" i="1"/>
  <c r="C1840" i="1"/>
  <c r="D1839" i="1"/>
  <c r="C1839" i="1"/>
  <c r="D1838" i="1"/>
  <c r="C1838" i="1"/>
  <c r="D1837" i="1"/>
  <c r="C1837" i="1"/>
  <c r="D1836" i="1"/>
  <c r="C1836" i="1"/>
  <c r="D1835" i="1"/>
  <c r="C1835" i="1"/>
  <c r="D1834" i="1"/>
  <c r="C1834" i="1"/>
  <c r="D1833" i="1"/>
  <c r="C1833" i="1"/>
  <c r="D1832" i="1"/>
  <c r="C1832" i="1"/>
  <c r="D1831" i="1"/>
  <c r="C1831" i="1"/>
  <c r="D1830" i="1"/>
  <c r="C1830" i="1"/>
  <c r="D1722" i="1"/>
  <c r="C1722" i="1"/>
  <c r="D1721" i="1"/>
  <c r="C1721" i="1"/>
  <c r="D1720" i="1"/>
  <c r="C1720" i="1"/>
  <c r="D1719" i="1"/>
  <c r="C1719" i="1"/>
  <c r="D1718" i="1"/>
  <c r="C1718" i="1"/>
  <c r="D1717" i="1"/>
  <c r="C1717" i="1"/>
  <c r="D1716" i="1"/>
  <c r="C1716" i="1"/>
  <c r="D1715" i="1"/>
  <c r="C1715" i="1"/>
  <c r="D1714" i="1"/>
  <c r="C1714" i="1"/>
  <c r="D1713" i="1"/>
  <c r="C1713" i="1"/>
  <c r="D1712" i="1"/>
  <c r="C1712" i="1"/>
  <c r="C1626" i="1"/>
  <c r="D1626" i="1"/>
  <c r="C1627" i="1"/>
  <c r="D1627" i="1"/>
  <c r="C1628" i="1"/>
  <c r="D1628" i="1"/>
  <c r="C1629" i="1"/>
  <c r="D1629" i="1"/>
  <c r="C1630" i="1"/>
  <c r="D1630" i="1"/>
  <c r="C1631" i="1"/>
  <c r="D1631" i="1"/>
  <c r="C1632" i="1"/>
  <c r="D1632" i="1"/>
  <c r="C1633" i="1"/>
  <c r="D1633" i="1"/>
  <c r="C1634" i="1"/>
  <c r="D1634" i="1"/>
  <c r="C1635" i="1"/>
  <c r="D1635" i="1"/>
  <c r="D1625" i="1"/>
  <c r="C1625" i="1"/>
  <c r="D1931" i="1"/>
  <c r="C1931" i="1"/>
  <c r="D1885" i="1"/>
  <c r="C1885" i="1"/>
  <c r="D1674" i="1"/>
  <c r="C1674" i="1"/>
  <c r="D1829" i="1"/>
  <c r="C1829" i="1"/>
  <c r="D1711" i="1"/>
  <c r="C1711" i="1"/>
  <c r="D1624" i="1"/>
  <c r="C1624" i="1"/>
  <c r="P1875" i="1"/>
  <c r="P1876" i="1"/>
  <c r="O1875" i="1"/>
  <c r="O1876" i="1"/>
  <c r="O1877" i="1"/>
  <c r="D754" i="1"/>
  <c r="C754" i="1"/>
  <c r="D753" i="1"/>
  <c r="C753" i="1"/>
  <c r="D752" i="1"/>
  <c r="C752" i="1"/>
  <c r="D751" i="1"/>
  <c r="C751" i="1"/>
  <c r="P154" i="1"/>
  <c r="O154" i="1"/>
  <c r="O160" i="1"/>
  <c r="O159" i="1"/>
  <c r="O158" i="1"/>
  <c r="O157" i="1"/>
  <c r="O156" i="1"/>
  <c r="O155" i="1"/>
  <c r="D969" i="1"/>
  <c r="C969" i="1"/>
  <c r="D678" i="1"/>
  <c r="C678" i="1"/>
  <c r="D679" i="1"/>
  <c r="C679" i="1"/>
  <c r="D677" i="1"/>
  <c r="C677" i="1"/>
  <c r="D676" i="1"/>
  <c r="C676" i="1"/>
  <c r="D1214" i="1"/>
  <c r="C1214" i="1"/>
  <c r="D1213" i="1"/>
  <c r="C1213" i="1"/>
  <c r="D1212" i="1"/>
  <c r="C1212" i="1"/>
  <c r="D1211" i="1"/>
  <c r="C1211" i="1"/>
  <c r="O476" i="1"/>
  <c r="O475" i="1"/>
  <c r="O474" i="1"/>
  <c r="O473" i="1"/>
  <c r="O336" i="1"/>
  <c r="O335" i="1"/>
  <c r="O334" i="1"/>
  <c r="O333" i="1"/>
  <c r="O178" i="1"/>
  <c r="O177" i="1"/>
  <c r="O176" i="1"/>
  <c r="O175" i="1"/>
  <c r="O603" i="1"/>
  <c r="O602" i="1"/>
  <c r="O601" i="1"/>
  <c r="O600" i="1"/>
  <c r="O472" i="1"/>
  <c r="O471" i="1"/>
  <c r="O470" i="1"/>
  <c r="O469" i="1"/>
  <c r="O332" i="1"/>
  <c r="O331" i="1"/>
  <c r="O330" i="1"/>
  <c r="O329" i="1"/>
  <c r="O174" i="1"/>
  <c r="O173" i="1"/>
  <c r="O172" i="1"/>
  <c r="O171" i="1"/>
  <c r="O599" i="1"/>
  <c r="O598" i="1"/>
  <c r="O597" i="1"/>
  <c r="O596" i="1"/>
  <c r="D476" i="1"/>
  <c r="C476" i="1"/>
  <c r="D475" i="1"/>
  <c r="C475" i="1"/>
  <c r="D474" i="1"/>
  <c r="C474" i="1"/>
  <c r="D473" i="1"/>
  <c r="C473" i="1"/>
  <c r="D336" i="1"/>
  <c r="C336" i="1"/>
  <c r="D335" i="1"/>
  <c r="C335" i="1"/>
  <c r="D334" i="1"/>
  <c r="C334" i="1"/>
  <c r="D333" i="1"/>
  <c r="C333" i="1"/>
  <c r="D178" i="1"/>
  <c r="C178" i="1"/>
  <c r="D177" i="1"/>
  <c r="C177" i="1"/>
  <c r="D176" i="1"/>
  <c r="C176" i="1"/>
  <c r="D175" i="1"/>
  <c r="C175" i="1"/>
  <c r="D603" i="1"/>
  <c r="C603" i="1"/>
  <c r="D602" i="1"/>
  <c r="C602" i="1"/>
  <c r="D601" i="1"/>
  <c r="C601" i="1"/>
  <c r="D600" i="1"/>
  <c r="C600" i="1"/>
  <c r="C470" i="1"/>
  <c r="D470" i="1"/>
  <c r="C471" i="1"/>
  <c r="D471" i="1"/>
  <c r="C472" i="1"/>
  <c r="D472" i="1"/>
  <c r="C330" i="1"/>
  <c r="D330" i="1"/>
  <c r="C331" i="1"/>
  <c r="D331" i="1"/>
  <c r="C332" i="1"/>
  <c r="D332" i="1"/>
  <c r="C172" i="1"/>
  <c r="D172" i="1"/>
  <c r="C173" i="1"/>
  <c r="D173" i="1"/>
  <c r="C174" i="1"/>
  <c r="D174" i="1"/>
  <c r="C597" i="1"/>
  <c r="D597" i="1"/>
  <c r="C598" i="1"/>
  <c r="D598" i="1"/>
  <c r="C599" i="1"/>
  <c r="D599" i="1"/>
  <c r="D469" i="1"/>
  <c r="C469" i="1"/>
  <c r="D329" i="1"/>
  <c r="C329" i="1"/>
  <c r="D171" i="1"/>
  <c r="C171" i="1"/>
  <c r="C596" i="1"/>
  <c r="D596" i="1"/>
  <c r="D319" i="1"/>
  <c r="C319" i="1"/>
  <c r="D320" i="1"/>
  <c r="C320" i="1"/>
  <c r="D321" i="1"/>
  <c r="C321" i="1"/>
  <c r="D207" i="1"/>
  <c r="C207" i="1"/>
  <c r="D208" i="1"/>
  <c r="C208" i="1"/>
  <c r="D1315" i="1"/>
  <c r="C1315" i="1"/>
  <c r="D981" i="1" l="1"/>
  <c r="C981" i="1"/>
  <c r="D980" i="1"/>
  <c r="C980" i="1"/>
  <c r="D979" i="1"/>
  <c r="C979" i="1"/>
  <c r="D978" i="1"/>
  <c r="C978" i="1"/>
  <c r="D977" i="1"/>
  <c r="C977" i="1"/>
  <c r="D976" i="1"/>
  <c r="C976" i="1"/>
  <c r="D168" i="1"/>
  <c r="C168" i="1"/>
  <c r="P168" i="1"/>
  <c r="O168" i="1"/>
  <c r="D2027" i="1"/>
  <c r="C2027" i="1"/>
  <c r="D2026" i="1"/>
  <c r="C2026" i="1"/>
  <c r="D2025" i="1"/>
  <c r="C2025" i="1"/>
  <c r="D2024" i="1"/>
  <c r="C2024" i="1"/>
  <c r="D2023" i="1"/>
  <c r="C2023" i="1"/>
  <c r="D2022" i="1"/>
  <c r="C2022" i="1"/>
  <c r="D2021" i="1"/>
  <c r="C2021" i="1"/>
  <c r="D2020" i="1"/>
  <c r="C2020" i="1"/>
  <c r="D2019" i="1"/>
  <c r="C2019" i="1"/>
  <c r="D2018" i="1"/>
  <c r="C2018" i="1"/>
  <c r="D2017" i="1"/>
  <c r="C2017" i="1"/>
  <c r="D2016" i="1"/>
  <c r="C2016" i="1"/>
  <c r="D2015" i="1"/>
  <c r="C2015" i="1"/>
  <c r="O858" i="1"/>
  <c r="D1406" i="1"/>
  <c r="C1406" i="1"/>
  <c r="D1412" i="1"/>
  <c r="C1412" i="1"/>
  <c r="D1168" i="1"/>
  <c r="C1168" i="1"/>
  <c r="D1167" i="1"/>
  <c r="C1167" i="1"/>
  <c r="D1166" i="1"/>
  <c r="C1166" i="1"/>
  <c r="D1165" i="1"/>
  <c r="C1165" i="1"/>
  <c r="D1215" i="1"/>
  <c r="C1215" i="1"/>
  <c r="D1210" i="1"/>
  <c r="C1210"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O1041" i="1"/>
  <c r="O1040" i="1"/>
  <c r="O1039" i="1"/>
  <c r="O1044" i="1"/>
  <c r="O1043" i="1"/>
  <c r="O1042" i="1"/>
  <c r="O1879" i="1" l="1"/>
  <c r="O1878" i="1"/>
  <c r="D1879" i="1"/>
  <c r="C1879" i="1"/>
  <c r="D1878" i="1"/>
  <c r="C1878" i="1"/>
  <c r="D948" i="1"/>
  <c r="C948" i="1"/>
  <c r="D947" i="1"/>
  <c r="C947" i="1"/>
  <c r="D946" i="1"/>
  <c r="C946" i="1"/>
  <c r="D945" i="1"/>
  <c r="C945" i="1"/>
  <c r="D944" i="1"/>
  <c r="C944" i="1"/>
  <c r="D943" i="1"/>
  <c r="C943" i="1"/>
  <c r="D942" i="1"/>
  <c r="C942" i="1"/>
  <c r="D941" i="1"/>
  <c r="C941" i="1"/>
  <c r="D940" i="1"/>
  <c r="C940" i="1"/>
  <c r="D939" i="1"/>
  <c r="C939" i="1"/>
  <c r="D938" i="1"/>
  <c r="C938" i="1"/>
  <c r="D937" i="1"/>
  <c r="C937" i="1"/>
  <c r="D1264" i="1"/>
  <c r="C1264" i="1"/>
  <c r="D1263" i="1"/>
  <c r="C1263" i="1"/>
  <c r="D1262" i="1"/>
  <c r="C1262" i="1"/>
  <c r="D1261" i="1"/>
  <c r="C1261" i="1"/>
  <c r="D1260" i="1"/>
  <c r="C1260" i="1"/>
  <c r="D1269" i="1"/>
  <c r="D1268" i="1"/>
  <c r="D1267" i="1"/>
  <c r="D1266" i="1"/>
  <c r="D1265" i="1"/>
  <c r="C1269" i="1"/>
  <c r="C1268" i="1"/>
  <c r="C1267" i="1"/>
  <c r="C1266" i="1"/>
  <c r="C1265" i="1"/>
  <c r="D1316" i="1"/>
  <c r="C1316" i="1"/>
  <c r="C1795" i="1"/>
  <c r="D1795" i="1"/>
  <c r="C1796" i="1"/>
  <c r="D1796" i="1"/>
  <c r="C1797" i="1"/>
  <c r="D1797" i="1"/>
  <c r="C1798" i="1"/>
  <c r="D1798" i="1"/>
  <c r="C1799" i="1"/>
  <c r="D1799" i="1"/>
  <c r="C1800" i="1"/>
  <c r="D1800" i="1"/>
  <c r="C1801" i="1"/>
  <c r="D1801" i="1"/>
  <c r="C1802" i="1"/>
  <c r="D1802" i="1"/>
  <c r="C1803" i="1"/>
  <c r="D1803" i="1"/>
  <c r="C1804" i="1"/>
  <c r="D1804" i="1"/>
  <c r="C1805" i="1"/>
  <c r="D1805" i="1"/>
  <c r="C1806" i="1"/>
  <c r="D1806" i="1"/>
  <c r="C1807" i="1"/>
  <c r="D1807" i="1"/>
  <c r="C1808" i="1"/>
  <c r="D1808" i="1"/>
  <c r="C1809" i="1"/>
  <c r="D1809" i="1"/>
  <c r="C1810" i="1"/>
  <c r="D1810" i="1"/>
  <c r="D1794" i="1"/>
  <c r="C1794" i="1"/>
  <c r="D1793" i="1"/>
  <c r="C1793" i="1"/>
  <c r="D1792" i="1"/>
  <c r="C1792" i="1"/>
  <c r="D634" i="1"/>
  <c r="C634" i="1"/>
  <c r="D633" i="1"/>
  <c r="C633" i="1"/>
  <c r="D632" i="1"/>
  <c r="C632" i="1"/>
  <c r="D1789" i="1"/>
  <c r="C1789" i="1"/>
  <c r="O637" i="1" l="1"/>
  <c r="O636" i="1"/>
  <c r="O635" i="1"/>
  <c r="O640" i="1"/>
  <c r="O639" i="1"/>
  <c r="O638" i="1"/>
  <c r="O643" i="1"/>
  <c r="O642" i="1"/>
  <c r="O641" i="1"/>
  <c r="D387" i="1"/>
  <c r="C387" i="1"/>
  <c r="O4" i="1"/>
  <c r="D137" i="1"/>
  <c r="C137" i="1"/>
  <c r="D136" i="1"/>
  <c r="C136" i="1"/>
  <c r="D819" i="1"/>
  <c r="C819" i="1"/>
  <c r="D818" i="1"/>
  <c r="C818" i="1"/>
  <c r="D817" i="1"/>
  <c r="C817" i="1"/>
  <c r="D822" i="1"/>
  <c r="C822" i="1"/>
  <c r="D821" i="1"/>
  <c r="C821" i="1"/>
  <c r="D820" i="1"/>
  <c r="C820" i="1"/>
  <c r="D825" i="1"/>
  <c r="C825" i="1"/>
  <c r="D824" i="1"/>
  <c r="C824" i="1"/>
  <c r="P825" i="1"/>
  <c r="O825" i="1"/>
  <c r="P824" i="1"/>
  <c r="O824" i="1"/>
  <c r="P823" i="1"/>
  <c r="O823" i="1"/>
  <c r="D823" i="1"/>
  <c r="C823" i="1"/>
  <c r="C1364" i="1"/>
  <c r="D1364" i="1"/>
  <c r="C1365" i="1"/>
  <c r="D1365" i="1"/>
  <c r="C1366" i="1"/>
  <c r="D1366" i="1"/>
  <c r="C1367" i="1"/>
  <c r="D1367" i="1"/>
  <c r="C1368" i="1"/>
  <c r="D1368" i="1"/>
  <c r="C1369" i="1"/>
  <c r="D1369" i="1"/>
  <c r="C1370" i="1"/>
  <c r="D1370" i="1"/>
  <c r="C1371" i="1"/>
  <c r="D1371" i="1"/>
  <c r="C1372" i="1"/>
  <c r="D1372" i="1"/>
  <c r="C1373" i="1"/>
  <c r="D1373" i="1"/>
  <c r="C1374" i="1"/>
  <c r="D1374" i="1"/>
  <c r="D1363" i="1"/>
  <c r="C1363" i="1"/>
  <c r="D1362" i="1"/>
  <c r="C1362" i="1"/>
  <c r="C1350" i="1"/>
  <c r="D1350" i="1"/>
  <c r="C1351" i="1"/>
  <c r="D1351" i="1"/>
  <c r="C1352" i="1"/>
  <c r="D1352" i="1"/>
  <c r="C1353" i="1"/>
  <c r="D1353" i="1"/>
  <c r="C1354" i="1"/>
  <c r="D1354" i="1"/>
  <c r="C1355" i="1"/>
  <c r="D1355" i="1"/>
  <c r="C1356" i="1"/>
  <c r="D1356" i="1"/>
  <c r="C1357" i="1"/>
  <c r="D1357" i="1"/>
  <c r="C1358" i="1"/>
  <c r="D1358" i="1"/>
  <c r="C1359" i="1"/>
  <c r="D1359" i="1"/>
  <c r="C1360" i="1"/>
  <c r="D1360" i="1"/>
  <c r="D1349" i="1"/>
  <c r="C1349" i="1"/>
  <c r="D1348" i="1"/>
  <c r="C1348" i="1"/>
  <c r="D1974" i="1" l="1"/>
  <c r="C1974" i="1"/>
  <c r="D1973" i="1"/>
  <c r="C1973" i="1"/>
  <c r="D1972" i="1"/>
  <c r="C1972" i="1"/>
  <c r="O1426" i="1"/>
  <c r="D1426" i="1" l="1"/>
  <c r="C1426" i="1"/>
  <c r="D1475" i="1" l="1"/>
  <c r="C1475" i="1"/>
  <c r="P691" i="1"/>
  <c r="O691" i="1"/>
  <c r="P693" i="1"/>
  <c r="P692" i="1"/>
  <c r="P690" i="1"/>
  <c r="O693" i="1"/>
  <c r="O692" i="1"/>
  <c r="O690" i="1"/>
  <c r="D780" i="1"/>
  <c r="C780" i="1"/>
  <c r="D779" i="1"/>
  <c r="C779" i="1"/>
  <c r="D777" i="1"/>
  <c r="C777" i="1"/>
  <c r="D776" i="1"/>
  <c r="C776" i="1"/>
  <c r="D768" i="1"/>
  <c r="C768" i="1"/>
  <c r="D767" i="1"/>
  <c r="C767" i="1"/>
  <c r="D774" i="1"/>
  <c r="C774" i="1"/>
  <c r="D773" i="1"/>
  <c r="C773" i="1"/>
  <c r="D771" i="1"/>
  <c r="C771" i="1"/>
  <c r="D770" i="1"/>
  <c r="C770" i="1"/>
  <c r="D765" i="1"/>
  <c r="C765" i="1"/>
  <c r="D764" i="1"/>
  <c r="C764" i="1"/>
  <c r="P1019" i="1" l="1"/>
  <c r="O1019" i="1"/>
  <c r="P1018" i="1"/>
  <c r="O1018" i="1"/>
  <c r="P1017" i="1"/>
  <c r="O1017" i="1"/>
  <c r="P1022" i="1"/>
  <c r="O1022" i="1"/>
  <c r="P1021" i="1"/>
  <c r="O1021" i="1"/>
  <c r="P1020" i="1"/>
  <c r="O1020" i="1"/>
  <c r="P1025" i="1"/>
  <c r="O1025" i="1"/>
  <c r="P1024" i="1"/>
  <c r="O1024" i="1"/>
  <c r="P1023" i="1"/>
  <c r="O1023" i="1"/>
  <c r="P1016" i="1"/>
  <c r="O1016" i="1"/>
  <c r="P1015" i="1"/>
  <c r="O1015" i="1"/>
  <c r="P1014" i="1"/>
  <c r="O1014" i="1"/>
  <c r="D1019" i="1"/>
  <c r="C1019" i="1"/>
  <c r="D1018" i="1"/>
  <c r="C1018" i="1"/>
  <c r="D1022" i="1"/>
  <c r="C1022" i="1"/>
  <c r="D1021" i="1"/>
  <c r="C1021" i="1"/>
  <c r="D1025" i="1"/>
  <c r="C1025" i="1"/>
  <c r="D1024" i="1"/>
  <c r="C1024" i="1"/>
  <c r="D1016" i="1"/>
  <c r="C1016" i="1"/>
  <c r="D1015" i="1"/>
  <c r="C1015" i="1"/>
  <c r="D787" i="1"/>
  <c r="C787" i="1"/>
  <c r="D1341" i="1"/>
  <c r="C1341" i="1"/>
  <c r="D1340" i="1"/>
  <c r="C1340" i="1"/>
  <c r="D1339" i="1"/>
  <c r="C1339" i="1"/>
  <c r="D788" i="1" l="1"/>
  <c r="C788" i="1"/>
  <c r="D1314" i="1"/>
  <c r="C1314" i="1"/>
  <c r="O2029" i="1"/>
  <c r="C985" i="1"/>
  <c r="D985" i="1"/>
  <c r="C986" i="1"/>
  <c r="D986" i="1"/>
  <c r="C987" i="1"/>
  <c r="D987" i="1"/>
  <c r="C988" i="1"/>
  <c r="D988" i="1"/>
  <c r="C989" i="1"/>
  <c r="D989" i="1"/>
  <c r="C990" i="1"/>
  <c r="D990" i="1"/>
  <c r="C991" i="1"/>
  <c r="D991" i="1"/>
  <c r="C992" i="1"/>
  <c r="D992" i="1"/>
  <c r="C993" i="1"/>
  <c r="D993" i="1"/>
  <c r="C994" i="1"/>
  <c r="D994" i="1"/>
  <c r="C995" i="1"/>
  <c r="D995" i="1"/>
  <c r="C996" i="1"/>
  <c r="D996" i="1"/>
  <c r="C997" i="1"/>
  <c r="D997" i="1"/>
  <c r="C998" i="1"/>
  <c r="D998" i="1"/>
  <c r="C999" i="1"/>
  <c r="D999" i="1"/>
  <c r="C1000" i="1"/>
  <c r="D1000" i="1"/>
  <c r="C1001" i="1"/>
  <c r="D1001" i="1"/>
  <c r="C1002" i="1"/>
  <c r="D1002" i="1"/>
  <c r="C1003" i="1"/>
  <c r="D1003" i="1"/>
  <c r="C1004" i="1"/>
  <c r="D1004" i="1"/>
  <c r="C1005" i="1"/>
  <c r="D1005" i="1"/>
  <c r="C1006" i="1"/>
  <c r="D1006" i="1"/>
  <c r="C1007" i="1"/>
  <c r="D1007" i="1"/>
  <c r="C1008" i="1"/>
  <c r="D1008" i="1"/>
  <c r="C1009" i="1"/>
  <c r="D1009" i="1"/>
  <c r="C1010" i="1"/>
  <c r="D1010" i="1"/>
  <c r="C1011" i="1"/>
  <c r="D1011" i="1"/>
  <c r="C1012" i="1"/>
  <c r="D1012" i="1"/>
  <c r="C1013" i="1"/>
  <c r="D1013" i="1"/>
  <c r="D983" i="1"/>
  <c r="C983" i="1"/>
  <c r="D984" i="1"/>
  <c r="C984" i="1"/>
  <c r="D982" i="1"/>
  <c r="C982" i="1"/>
  <c r="D1313" i="1"/>
  <c r="C1313" i="1"/>
  <c r="D1312" i="1"/>
  <c r="C1312" i="1"/>
  <c r="D1311" i="1"/>
  <c r="C1311" i="1"/>
  <c r="D1310" i="1"/>
  <c r="C1310" i="1"/>
  <c r="D1309" i="1"/>
  <c r="C1309" i="1"/>
  <c r="D1248" i="1"/>
  <c r="C1248" i="1"/>
  <c r="O1249" i="1"/>
  <c r="D1249" i="1"/>
  <c r="C1249" i="1"/>
  <c r="D1251" i="1"/>
  <c r="C1251" i="1"/>
  <c r="D1250" i="1"/>
  <c r="C1250" i="1"/>
  <c r="D1183" i="1"/>
  <c r="C1183" i="1"/>
  <c r="D1182" i="1"/>
  <c r="C1182" i="1"/>
  <c r="D1181" i="1"/>
  <c r="C1181" i="1"/>
  <c r="D1180" i="1"/>
  <c r="C1180" i="1"/>
  <c r="D1179" i="1"/>
  <c r="C1179" i="1"/>
  <c r="D1178" i="1"/>
  <c r="C1178" i="1"/>
  <c r="D1177" i="1"/>
  <c r="C1177" i="1"/>
  <c r="D1176" i="1"/>
  <c r="C1176" i="1"/>
  <c r="D1252" i="1"/>
  <c r="C1252" i="1"/>
  <c r="O1252" i="1"/>
  <c r="D830" i="1"/>
  <c r="C830" i="1"/>
  <c r="C829" i="1"/>
  <c r="D829" i="1"/>
  <c r="D1407" i="1"/>
  <c r="C1407" i="1"/>
  <c r="O848" i="1"/>
  <c r="O916" i="1"/>
  <c r="O921" i="1"/>
  <c r="O922" i="1"/>
  <c r="O920" i="1"/>
  <c r="O924" i="1"/>
  <c r="O919" i="1"/>
  <c r="O918" i="1"/>
  <c r="O917" i="1"/>
  <c r="O844" i="1"/>
  <c r="O843" i="1"/>
  <c r="O842" i="1"/>
  <c r="O841" i="1"/>
  <c r="O840" i="1"/>
  <c r="O839" i="1"/>
  <c r="O838" i="1"/>
  <c r="O837" i="1"/>
  <c r="O836" i="1"/>
  <c r="O835" i="1"/>
  <c r="O834" i="1"/>
  <c r="O833" i="1"/>
  <c r="P1413" i="1"/>
  <c r="O1413" i="1"/>
  <c r="O2034" i="1"/>
  <c r="O2031" i="1"/>
  <c r="O2033" i="1"/>
  <c r="O2032" i="1"/>
  <c r="O2030" i="1"/>
  <c r="D2034" i="1"/>
  <c r="C2034" i="1"/>
  <c r="D2031" i="1"/>
  <c r="C2031" i="1"/>
  <c r="D2030" i="1"/>
  <c r="C2030" i="1"/>
  <c r="D2033" i="1"/>
  <c r="C2033" i="1"/>
  <c r="D2032" i="1"/>
  <c r="C2032"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124" i="1"/>
  <c r="C1124" i="1"/>
  <c r="D2014" i="1"/>
  <c r="C2014" i="1"/>
  <c r="D2013" i="1"/>
  <c r="C2013" i="1"/>
  <c r="D2012" i="1"/>
  <c r="C2012" i="1"/>
  <c r="D2011" i="1"/>
  <c r="C2011" i="1"/>
  <c r="D2010" i="1"/>
  <c r="C2010" i="1"/>
  <c r="D2009" i="1"/>
  <c r="C2009" i="1"/>
  <c r="D2008" i="1"/>
  <c r="C2008" i="1"/>
  <c r="D2007" i="1"/>
  <c r="C2007" i="1"/>
  <c r="D2006" i="1"/>
  <c r="C2006" i="1"/>
  <c r="D2005" i="1"/>
  <c r="C2005" i="1"/>
  <c r="D2003" i="1"/>
  <c r="C2003" i="1"/>
  <c r="D2004" i="1"/>
  <c r="C2004" i="1"/>
  <c r="O2003" i="1"/>
  <c r="O2004" i="1"/>
  <c r="O1095" i="1" l="1"/>
  <c r="P1614" i="1"/>
  <c r="O1614" i="1"/>
  <c r="O1537" i="1"/>
  <c r="P1585" i="1"/>
  <c r="O1585" i="1"/>
  <c r="O975" i="1"/>
  <c r="D965" i="1"/>
  <c r="C965" i="1"/>
  <c r="O965" i="1"/>
  <c r="D652" i="1"/>
  <c r="C652" i="1"/>
  <c r="D1308" i="1"/>
  <c r="C1308" i="1"/>
  <c r="D1307" i="1"/>
  <c r="C1307" i="1"/>
  <c r="D1306" i="1"/>
  <c r="C1306" i="1"/>
  <c r="D1305" i="1"/>
  <c r="C1305" i="1"/>
  <c r="D1516" i="1"/>
  <c r="C1516" i="1"/>
  <c r="D1515" i="1"/>
  <c r="C1515" i="1"/>
  <c r="D1514" i="1"/>
  <c r="C1514" i="1"/>
  <c r="D1513" i="1"/>
  <c r="C1513" i="1"/>
  <c r="O454" i="1"/>
  <c r="O453" i="1"/>
  <c r="D141" i="1"/>
  <c r="C141" i="1"/>
  <c r="O141" i="1"/>
  <c r="D2035" i="1"/>
  <c r="C2035" i="1"/>
  <c r="D803" i="1"/>
  <c r="C803" i="1"/>
  <c r="D2041" i="1"/>
  <c r="C2041" i="1"/>
  <c r="D1094" i="1"/>
  <c r="C1094" i="1"/>
  <c r="C1091" i="1"/>
  <c r="D1091" i="1"/>
  <c r="O1512" i="1"/>
  <c r="D316" i="1"/>
  <c r="C316" i="1"/>
  <c r="D315" i="1"/>
  <c r="C315" i="1"/>
  <c r="D314" i="1"/>
  <c r="C314" i="1"/>
  <c r="D313" i="1"/>
  <c r="C313" i="1"/>
  <c r="D389" i="1"/>
  <c r="C389" i="1"/>
  <c r="D877" i="1"/>
  <c r="C877" i="1"/>
  <c r="D876" i="1"/>
  <c r="C876" i="1"/>
  <c r="D875" i="1"/>
  <c r="C875" i="1"/>
  <c r="D874" i="1"/>
  <c r="C874" i="1"/>
  <c r="D873" i="1"/>
  <c r="C873" i="1"/>
  <c r="D872" i="1"/>
  <c r="C872" i="1"/>
  <c r="D871" i="1"/>
  <c r="C871" i="1"/>
  <c r="D870" i="1"/>
  <c r="C870" i="1"/>
  <c r="D869" i="1"/>
  <c r="C869" i="1"/>
  <c r="D868" i="1"/>
  <c r="C868" i="1"/>
  <c r="D867" i="1"/>
  <c r="C867" i="1"/>
  <c r="D866" i="1"/>
  <c r="C866" i="1"/>
  <c r="D880" i="1"/>
  <c r="C880" i="1"/>
  <c r="D879" i="1"/>
  <c r="C879" i="1"/>
  <c r="D878" i="1"/>
  <c r="C878" i="1"/>
  <c r="O880" i="1"/>
  <c r="O879" i="1"/>
  <c r="O878" i="1"/>
  <c r="P1922" i="1"/>
  <c r="O1922" i="1"/>
  <c r="P1921" i="1"/>
  <c r="O1921" i="1"/>
  <c r="P1672" i="1"/>
  <c r="O1672" i="1"/>
  <c r="P1671" i="1"/>
  <c r="O1671" i="1"/>
  <c r="O1968" i="1"/>
  <c r="P1673" i="1"/>
  <c r="O1673" i="1"/>
  <c r="P1968" i="1"/>
  <c r="O1435" i="1" l="1"/>
  <c r="D1476" i="1"/>
  <c r="C1476" i="1"/>
  <c r="O1476" i="1"/>
  <c r="O1436" i="1"/>
  <c r="D1083" i="1"/>
  <c r="C1083" i="1"/>
  <c r="D1082" i="1"/>
  <c r="C1082" i="1"/>
  <c r="D1081" i="1"/>
  <c r="C1081" i="1"/>
  <c r="D1080" i="1"/>
  <c r="C1080" i="1"/>
  <c r="O500" i="1"/>
  <c r="D500" i="1"/>
  <c r="C500" i="1"/>
  <c r="P582" i="1"/>
  <c r="O582" i="1"/>
  <c r="D664" i="1"/>
  <c r="C664" i="1"/>
  <c r="D352" i="1"/>
  <c r="C352" i="1"/>
  <c r="D351" i="1"/>
  <c r="C351" i="1"/>
  <c r="D350" i="1"/>
  <c r="C350" i="1"/>
  <c r="D349" i="1"/>
  <c r="C349" i="1"/>
  <c r="D733" i="1"/>
  <c r="C733" i="1"/>
  <c r="P694" i="1"/>
  <c r="O694" i="1"/>
  <c r="P515" i="1"/>
  <c r="O515" i="1"/>
  <c r="P353" i="1"/>
  <c r="O353" i="1"/>
  <c r="D324" i="1" l="1"/>
  <c r="C324" i="1"/>
  <c r="D251" i="1"/>
  <c r="C251" i="1"/>
  <c r="D393" i="1"/>
  <c r="C393" i="1"/>
  <c r="D462" i="1" l="1"/>
  <c r="C462" i="1"/>
  <c r="D461" i="1"/>
  <c r="C461" i="1"/>
  <c r="D460" i="1"/>
  <c r="C460" i="1"/>
  <c r="O462" i="1"/>
  <c r="O461" i="1"/>
  <c r="O460" i="1"/>
  <c r="O459" i="1"/>
  <c r="D459" i="1"/>
  <c r="C459" i="1"/>
  <c r="D589" i="1"/>
  <c r="C589" i="1"/>
  <c r="D588" i="1"/>
  <c r="C588" i="1"/>
  <c r="D587" i="1"/>
  <c r="C587" i="1"/>
  <c r="O589" i="1"/>
  <c r="O588" i="1"/>
  <c r="O587" i="1"/>
  <c r="D586" i="1"/>
  <c r="C586" i="1"/>
  <c r="D784" i="1"/>
  <c r="D654" i="1"/>
  <c r="C654" i="1"/>
  <c r="D355" i="1"/>
  <c r="C355" i="1"/>
  <c r="D354" i="1"/>
  <c r="C354" i="1"/>
  <c r="P323" i="1"/>
  <c r="O323" i="1"/>
  <c r="P322" i="1"/>
  <c r="O322" i="1"/>
  <c r="P479" i="1"/>
  <c r="O479" i="1"/>
  <c r="P478" i="1"/>
  <c r="O478" i="1"/>
  <c r="P675" i="1"/>
  <c r="O675" i="1"/>
  <c r="P674" i="1"/>
  <c r="O674" i="1"/>
  <c r="P392" i="1"/>
  <c r="O392" i="1"/>
  <c r="P391" i="1"/>
  <c r="O391" i="1"/>
  <c r="D757" i="1"/>
  <c r="C757" i="1"/>
  <c r="D327" i="1"/>
  <c r="C327" i="1"/>
  <c r="C516" i="1"/>
  <c r="D516" i="1"/>
  <c r="C398" i="1"/>
  <c r="D398" i="1"/>
  <c r="C528" i="1"/>
  <c r="D528" i="1"/>
  <c r="D538" i="1"/>
  <c r="C538" i="1"/>
  <c r="D288" i="1"/>
  <c r="C288" i="1"/>
  <c r="D287" i="1"/>
  <c r="C287" i="1"/>
  <c r="D286" i="1"/>
  <c r="C286" i="1"/>
  <c r="D285" i="1"/>
  <c r="C285" i="1"/>
  <c r="D284" i="1"/>
  <c r="C284" i="1"/>
  <c r="D283" i="1"/>
  <c r="C283" i="1"/>
  <c r="D282" i="1"/>
  <c r="C282" i="1"/>
  <c r="D281" i="1"/>
  <c r="C281" i="1"/>
  <c r="D300" i="1"/>
  <c r="C300" i="1"/>
  <c r="D299" i="1"/>
  <c r="C299" i="1"/>
  <c r="D298" i="1"/>
  <c r="C298" i="1"/>
  <c r="D297" i="1"/>
  <c r="C297" i="1"/>
  <c r="D296" i="1"/>
  <c r="C296" i="1"/>
  <c r="D295" i="1"/>
  <c r="C295" i="1"/>
  <c r="D294" i="1"/>
  <c r="C294" i="1"/>
  <c r="D293" i="1"/>
  <c r="C293" i="1"/>
  <c r="D280" i="1"/>
  <c r="C280" i="1"/>
  <c r="D279" i="1"/>
  <c r="C279" i="1"/>
  <c r="D278" i="1"/>
  <c r="C278" i="1"/>
  <c r="D292" i="1"/>
  <c r="C292" i="1"/>
  <c r="D291" i="1"/>
  <c r="C291" i="1"/>
  <c r="D290" i="1"/>
  <c r="C290" i="1"/>
  <c r="D277" i="1"/>
  <c r="C277" i="1"/>
  <c r="D289" i="1"/>
  <c r="C289" i="1"/>
  <c r="D723" i="1" l="1"/>
  <c r="D722" i="1"/>
  <c r="D721" i="1"/>
  <c r="D720" i="1"/>
  <c r="C723" i="1"/>
  <c r="C722" i="1"/>
  <c r="C720" i="1"/>
  <c r="C721" i="1"/>
  <c r="O723" i="1" l="1"/>
  <c r="O722" i="1"/>
  <c r="O721" i="1"/>
  <c r="O720" i="1"/>
  <c r="D304" i="1"/>
  <c r="C304" i="1"/>
  <c r="D303" i="1"/>
  <c r="C303" i="1"/>
  <c r="D302" i="1"/>
  <c r="C302" i="1"/>
  <c r="D301" i="1"/>
  <c r="C301" i="1"/>
  <c r="D356" i="1"/>
  <c r="D359" i="1"/>
  <c r="D358" i="1"/>
  <c r="D357" i="1"/>
  <c r="C356" i="1"/>
  <c r="C359" i="1"/>
  <c r="C358" i="1"/>
  <c r="C357" i="1"/>
  <c r="D424" i="1"/>
  <c r="C424" i="1"/>
  <c r="D423" i="1"/>
  <c r="C423" i="1"/>
  <c r="D422" i="1"/>
  <c r="C422" i="1"/>
  <c r="D590" i="1"/>
  <c r="C590" i="1"/>
  <c r="D305" i="1"/>
  <c r="C305" i="1"/>
  <c r="D1338" i="1" l="1"/>
  <c r="C1338" i="1"/>
  <c r="D778" i="1"/>
  <c r="C778" i="1"/>
  <c r="D775" i="1"/>
  <c r="C775" i="1"/>
  <c r="D766" i="1"/>
  <c r="C766" i="1"/>
  <c r="D772" i="1"/>
  <c r="C772" i="1"/>
  <c r="D769" i="1"/>
  <c r="C769" i="1"/>
  <c r="D763" i="1"/>
  <c r="C763" i="1"/>
  <c r="D786" i="1"/>
  <c r="C786" i="1"/>
  <c r="D1017" i="1"/>
  <c r="C1017" i="1"/>
  <c r="D1020" i="1"/>
  <c r="C1020" i="1"/>
  <c r="D1023" i="1"/>
  <c r="C1023" i="1"/>
  <c r="D1014" i="1"/>
  <c r="C1014" i="1"/>
</calcChain>
</file>

<file path=xl/sharedStrings.xml><?xml version="1.0" encoding="utf-8"?>
<sst xmlns="http://schemas.openxmlformats.org/spreadsheetml/2006/main" count="21061" uniqueCount="1142">
  <si>
    <t>City</t>
  </si>
  <si>
    <t>Country</t>
  </si>
  <si>
    <t>Coords Given?</t>
  </si>
  <si>
    <t>Lat</t>
  </si>
  <si>
    <t>Lon</t>
  </si>
  <si>
    <t>Land Type</t>
  </si>
  <si>
    <t>J</t>
  </si>
  <si>
    <t>F</t>
  </si>
  <si>
    <t>M</t>
  </si>
  <si>
    <t>A</t>
  </si>
  <si>
    <t>S</t>
  </si>
  <si>
    <t>O</t>
  </si>
  <si>
    <t>N</t>
  </si>
  <si>
    <t>D</t>
  </si>
  <si>
    <t>LandType:</t>
  </si>
  <si>
    <t>Y</t>
  </si>
  <si>
    <t>Yes</t>
  </si>
  <si>
    <t>No</t>
  </si>
  <si>
    <t>Background</t>
  </si>
  <si>
    <t>U</t>
  </si>
  <si>
    <t>B</t>
  </si>
  <si>
    <t>R</t>
  </si>
  <si>
    <t>I</t>
  </si>
  <si>
    <t>Industrial</t>
  </si>
  <si>
    <t>Instrument Type</t>
  </si>
  <si>
    <t>Reference</t>
  </si>
  <si>
    <t>PM2.5 [ug/m3]</t>
  </si>
  <si>
    <t>mean</t>
  </si>
  <si>
    <t>std</t>
  </si>
  <si>
    <t>RH</t>
  </si>
  <si>
    <t>Teflon filter</t>
  </si>
  <si>
    <t>Mumbai</t>
  </si>
  <si>
    <t>India</t>
  </si>
  <si>
    <t>Notes</t>
  </si>
  <si>
    <t>C</t>
  </si>
  <si>
    <t>Curbside</t>
  </si>
  <si>
    <t>Residential</t>
  </si>
  <si>
    <t>Close (identified with some confidence)</t>
  </si>
  <si>
    <t>Abba et al., IJEHR, 2012</t>
  </si>
  <si>
    <t>Accra</t>
  </si>
  <si>
    <t>Ghana</t>
  </si>
  <si>
    <t>XDFR</t>
  </si>
  <si>
    <t>Aboh et al., XS, 2009</t>
  </si>
  <si>
    <t>Cairo</t>
  </si>
  <si>
    <t>Egypt</t>
  </si>
  <si>
    <t>Abu-Allaban et al., AE, 2002; Abu-Allaban et al., EMA, 2007</t>
  </si>
  <si>
    <t>Unknown</t>
  </si>
  <si>
    <t>Kuwait City</t>
  </si>
  <si>
    <t>Kuwait</t>
  </si>
  <si>
    <t>Gravimetric</t>
  </si>
  <si>
    <t>Alolayan et al., STE, 2013</t>
  </si>
  <si>
    <t>Lintong</t>
  </si>
  <si>
    <t>Huxian</t>
  </si>
  <si>
    <t>Weinan</t>
  </si>
  <si>
    <t>China</t>
  </si>
  <si>
    <t>Mini-volume sampler</t>
  </si>
  <si>
    <t>Zhu et al., AAQR, 2010</t>
  </si>
  <si>
    <t>Xueyan Town</t>
  </si>
  <si>
    <t>Taihu Lake Station</t>
  </si>
  <si>
    <t>Anderson Impactor</t>
  </si>
  <si>
    <t>TEOM</t>
  </si>
  <si>
    <t>Zhou et al., JAC, 2009</t>
  </si>
  <si>
    <t>Mount Tai</t>
  </si>
  <si>
    <t>Beijing</t>
  </si>
  <si>
    <t>Shanghai</t>
  </si>
  <si>
    <t>Zhou et al., AE, 2009</t>
  </si>
  <si>
    <t>Hong Kong</t>
  </si>
  <si>
    <t>Guangong</t>
  </si>
  <si>
    <t>Caltech Graybox</t>
  </si>
  <si>
    <t>ThermoAndersen RAAS</t>
  </si>
  <si>
    <t>Hagler et al., AE, 2006</t>
  </si>
  <si>
    <t>Zheng et al., AE, 2005</t>
  </si>
  <si>
    <t>Average of 5 sites</t>
  </si>
  <si>
    <t>Mixed (combination of numerous landtypes)</t>
  </si>
  <si>
    <t>Xiamen</t>
  </si>
  <si>
    <t>Zhao et al., AR, 2011</t>
  </si>
  <si>
    <t>Quartz Filter</t>
  </si>
  <si>
    <t>Ur</t>
  </si>
  <si>
    <t>Urban</t>
  </si>
  <si>
    <t>Zhao et al., AE, 2009</t>
  </si>
  <si>
    <t>Tianjin</t>
  </si>
  <si>
    <t>Shijiazhuang</t>
  </si>
  <si>
    <t>Chengde</t>
  </si>
  <si>
    <t>Sahngdianzi</t>
  </si>
  <si>
    <t>Zhao et al., ACP, 2013</t>
  </si>
  <si>
    <t>Qipanjing</t>
  </si>
  <si>
    <t>Zhang et al., STE, 2010</t>
  </si>
  <si>
    <t>Hangjinqi</t>
  </si>
  <si>
    <t>Qigainao</t>
  </si>
  <si>
    <t>Dongsheng</t>
  </si>
  <si>
    <t>Zhungeer</t>
  </si>
  <si>
    <t>Guangzhou</t>
  </si>
  <si>
    <t>Wuhan</t>
  </si>
  <si>
    <t>Lanzhou</t>
  </si>
  <si>
    <t>Chongqing</t>
  </si>
  <si>
    <t>Dichotomous sampler</t>
  </si>
  <si>
    <t>Wei et al., EST, 1999</t>
  </si>
  <si>
    <t>Teflon Filter</t>
  </si>
  <si>
    <t>normal values used</t>
  </si>
  <si>
    <t>Zhang et al., P, 2013</t>
  </si>
  <si>
    <t>Fuzhou</t>
  </si>
  <si>
    <t>Zhang et al., JES, 2011</t>
  </si>
  <si>
    <t>Jianfengling Mountain</t>
  </si>
  <si>
    <t>Zhang et al., AR, 2012</t>
  </si>
  <si>
    <t>Zhang et al., AR, 2010</t>
  </si>
  <si>
    <t>Non-dust spring</t>
  </si>
  <si>
    <t>Filter</t>
  </si>
  <si>
    <t>Zhang et al., AAQR, 2012</t>
  </si>
  <si>
    <t>Tongyu</t>
  </si>
  <si>
    <t>Zakey et al., A, 2008</t>
  </si>
  <si>
    <t>Yu et al, JEM, 2011</t>
  </si>
  <si>
    <t>Yue et al., ACP, 2010</t>
  </si>
  <si>
    <t>Yu et al., AAS, 2005</t>
  </si>
  <si>
    <t>Yu et al., AAQR, 2013</t>
  </si>
  <si>
    <t>Ye et al., AE, 2003</t>
  </si>
  <si>
    <t>Izmir</t>
  </si>
  <si>
    <t>Turkey</t>
  </si>
  <si>
    <t>Yatkin et al., STE, 2008</t>
  </si>
  <si>
    <t>Jinan</t>
  </si>
  <si>
    <t>Yang et al., STE, 2005</t>
  </si>
  <si>
    <t>Yang et al., AE, 2012</t>
  </si>
  <si>
    <t>Yang et al., ACP, 2011</t>
  </si>
  <si>
    <t>Pune</t>
  </si>
  <si>
    <t>Yadav et al., EMA, 2013</t>
  </si>
  <si>
    <t>Kothai et al., AAQR, 2011</t>
  </si>
  <si>
    <t>Navi Mumbai</t>
  </si>
  <si>
    <t>Schleicher et al., AE, 2011</t>
  </si>
  <si>
    <t>Wenzhou</t>
  </si>
  <si>
    <t>Ningde</t>
  </si>
  <si>
    <t>Putian</t>
  </si>
  <si>
    <t>Quanzhou</t>
  </si>
  <si>
    <t>Zhangzhou</t>
  </si>
  <si>
    <t>Shantou</t>
  </si>
  <si>
    <t>Xu et al., STE, 2013</t>
  </si>
  <si>
    <t>Taipei</t>
  </si>
  <si>
    <t>Hsu et al., TAO, 2004</t>
  </si>
  <si>
    <t>Taiwan</t>
  </si>
  <si>
    <t>Chen et al., JHM, 2008</t>
  </si>
  <si>
    <t>Xu et al., JGR, 2004</t>
  </si>
  <si>
    <t>Yulin</t>
  </si>
  <si>
    <t>sites chosen for monitoring of dust</t>
  </si>
  <si>
    <t>speciation given</t>
  </si>
  <si>
    <t>Xu et al., AR, 2012</t>
  </si>
  <si>
    <t>Hu et al., AE, 2002</t>
  </si>
  <si>
    <t>Qingdao</t>
  </si>
  <si>
    <t>Xu et al., AE, 2005</t>
  </si>
  <si>
    <t>Linan</t>
  </si>
  <si>
    <t>Xu et al., AE, 2002</t>
  </si>
  <si>
    <t>Bangkok</t>
  </si>
  <si>
    <t>Pathumthani</t>
  </si>
  <si>
    <t>Thailand</t>
  </si>
  <si>
    <t>Conakry</t>
  </si>
  <si>
    <t>Guinea</t>
  </si>
  <si>
    <t>Weinstien et al., C, 2010</t>
  </si>
  <si>
    <t>during Harmatten</t>
  </si>
  <si>
    <t>Wanqingsha</t>
  </si>
  <si>
    <t>Wang et al., JES, 2012</t>
  </si>
  <si>
    <t>Wang et al., EMA, 2006</t>
  </si>
  <si>
    <t>winter heavy sampling</t>
  </si>
  <si>
    <t>Wang et al., CSB, 2009</t>
  </si>
  <si>
    <t>Nanjing</t>
  </si>
  <si>
    <t>Wang et al., AR, 2007</t>
  </si>
  <si>
    <t>Wang et al., AE, 2013b</t>
  </si>
  <si>
    <t>Wang et al., AE, 2006</t>
  </si>
  <si>
    <t>Highway site removed</t>
  </si>
  <si>
    <t>Wang et al., AE, 2005</t>
  </si>
  <si>
    <t>Ordos</t>
  </si>
  <si>
    <t>Wang et al., AAQR, 2012</t>
  </si>
  <si>
    <t>Pingtung</t>
  </si>
  <si>
    <t>Wang et al., AAQR, 2008</t>
  </si>
  <si>
    <t>Eilat</t>
  </si>
  <si>
    <t>Haifa</t>
  </si>
  <si>
    <t>Tel Aviv</t>
  </si>
  <si>
    <t>West Jerusalem</t>
  </si>
  <si>
    <t>Israel</t>
  </si>
  <si>
    <t>Amman</t>
  </si>
  <si>
    <t>Aqabah</t>
  </si>
  <si>
    <t>Rachma</t>
  </si>
  <si>
    <t>Zarka</t>
  </si>
  <si>
    <t>Jordan</t>
  </si>
  <si>
    <t>East Jerusalem</t>
  </si>
  <si>
    <t>Hebron</t>
  </si>
  <si>
    <t>Nablus</t>
  </si>
  <si>
    <t>Palestine</t>
  </si>
  <si>
    <t>von Schneidemesser et al., AE, 2010</t>
  </si>
  <si>
    <t>Verma, AR, 2010</t>
  </si>
  <si>
    <t>Raipur</t>
  </si>
  <si>
    <t>Mexico City</t>
  </si>
  <si>
    <t>Mexico</t>
  </si>
  <si>
    <t>Vega et al., STE, 2002</t>
  </si>
  <si>
    <t>Vega et al., JAWMA, 2007</t>
  </si>
  <si>
    <t>Salamanca</t>
  </si>
  <si>
    <t>Vega et al., APR, 2011</t>
  </si>
  <si>
    <t>Santiago</t>
  </si>
  <si>
    <t>Chile</t>
  </si>
  <si>
    <t>Valdes et al., EES, 2013</t>
  </si>
  <si>
    <t>Valle-Hernandez et al., STE, 2010</t>
  </si>
  <si>
    <t>Daliao</t>
  </si>
  <si>
    <t>Tzouying</t>
  </si>
  <si>
    <t>Tsai et al., JAWMA, 2011</t>
  </si>
  <si>
    <t>average of day and night/episodes</t>
  </si>
  <si>
    <t>Tsai et al., ESPR, 2013</t>
  </si>
  <si>
    <t>Meinung</t>
  </si>
  <si>
    <t>Jenwu</t>
  </si>
  <si>
    <t>Linyuan</t>
  </si>
  <si>
    <t>Tainan</t>
  </si>
  <si>
    <t>Tsai et al., AE, 2005</t>
  </si>
  <si>
    <t>New Zealand</t>
  </si>
  <si>
    <t>Auckland</t>
  </si>
  <si>
    <t>Hastings</t>
  </si>
  <si>
    <t>Masterton</t>
  </si>
  <si>
    <t>Upper Hutt</t>
  </si>
  <si>
    <t>Christchurch</t>
  </si>
  <si>
    <t>Delhi</t>
  </si>
  <si>
    <t>Beta Attenuation</t>
  </si>
  <si>
    <t>Tiwari et al., NH, 2013</t>
  </si>
  <si>
    <t>Tiwari et al., JAC 2009</t>
  </si>
  <si>
    <t>value approximated from graph</t>
  </si>
  <si>
    <t>Tiawari et al., ESI, 2008</t>
  </si>
  <si>
    <t>Tiawari et al., AR, 2013</t>
  </si>
  <si>
    <t>ThermoAndersen</t>
  </si>
  <si>
    <t>Candiota</t>
  </si>
  <si>
    <t>Brazil</t>
  </si>
  <si>
    <t>Teixeria et al., WASP, 2009</t>
  </si>
  <si>
    <t>Tao et al., P, 2009</t>
  </si>
  <si>
    <t>Tao et al., AR, 2013</t>
  </si>
  <si>
    <t>Chengdu</t>
  </si>
  <si>
    <t>Tokyo</t>
  </si>
  <si>
    <t>Japan</t>
  </si>
  <si>
    <t>Takahashi et al., AE, 2008</t>
  </si>
  <si>
    <t>Meknes</t>
  </si>
  <si>
    <t>Morroco</t>
  </si>
  <si>
    <t>approximated value</t>
  </si>
  <si>
    <t>Kenitra</t>
  </si>
  <si>
    <t>Tahri et al., JESWR, 2012</t>
  </si>
  <si>
    <t>Kuala Terengganu</t>
  </si>
  <si>
    <t>Malaysia</t>
  </si>
  <si>
    <t>Tahir et al., SM, 2013</t>
  </si>
  <si>
    <t>Bukit Tinggi</t>
  </si>
  <si>
    <t>Pontinak</t>
  </si>
  <si>
    <t>Indonesia</t>
  </si>
  <si>
    <t>Maenhaut et al., NUM, 2002</t>
  </si>
  <si>
    <t>Ho Chi Minh City</t>
  </si>
  <si>
    <t>Viet Nam</t>
  </si>
  <si>
    <t>Hien et al., AE, 2002</t>
  </si>
  <si>
    <t>Hanoi</t>
  </si>
  <si>
    <t>Budapest</t>
  </si>
  <si>
    <t>Istanbul</t>
  </si>
  <si>
    <t>Hungary</t>
  </si>
  <si>
    <t>Szigeti et al., MJ, 2013</t>
  </si>
  <si>
    <t>Sun et al., AE, 2004</t>
  </si>
  <si>
    <t>Lahore</t>
  </si>
  <si>
    <t>Pakistan</t>
  </si>
  <si>
    <t>Srivastava et al., JASTP, 2012</t>
  </si>
  <si>
    <t>Chennai</t>
  </si>
  <si>
    <t>Srimurugandum et al., AE, 2011</t>
  </si>
  <si>
    <t>average of six sites</t>
  </si>
  <si>
    <t>Song et al., JHM, 2007</t>
  </si>
  <si>
    <t>Rio de Janeiro</t>
  </si>
  <si>
    <t>average of ten sites</t>
  </si>
  <si>
    <t>Soluri et al., JBCS, 2007</t>
  </si>
  <si>
    <t>So et al., AE, 2007</t>
  </si>
  <si>
    <t>average of three sites</t>
  </si>
  <si>
    <t>Agra</t>
  </si>
  <si>
    <t>Singh et al., NH, 2013</t>
  </si>
  <si>
    <t>Kathmandu</t>
  </si>
  <si>
    <t>Nepal</t>
  </si>
  <si>
    <t>Aryal et al., JHM, 2009</t>
  </si>
  <si>
    <t>Seoul</t>
  </si>
  <si>
    <t>Korea</t>
  </si>
  <si>
    <t>Shon et al., AE, 2012</t>
  </si>
  <si>
    <t>Tongliao</t>
  </si>
  <si>
    <t>Shen et al., JES, 2006</t>
  </si>
  <si>
    <t>Xi'an</t>
  </si>
  <si>
    <t>Shen et al., AE, 2009</t>
  </si>
  <si>
    <t>normal days</t>
  </si>
  <si>
    <t>Kanpur</t>
  </si>
  <si>
    <t>Fitler</t>
  </si>
  <si>
    <t>Mohal</t>
  </si>
  <si>
    <t>estimated from BC and BC/PM2.5</t>
  </si>
  <si>
    <t>Sharma et al., AE, 2013</t>
  </si>
  <si>
    <t>Sharma et al., AR, 2005</t>
  </si>
  <si>
    <t>Taif</t>
  </si>
  <si>
    <t>Saudi Arabia</t>
  </si>
  <si>
    <t>Shaltout et al., AAQR, 2013</t>
  </si>
  <si>
    <t>average of two sites</t>
  </si>
  <si>
    <t>Beirut</t>
  </si>
  <si>
    <t>Lebanon</t>
  </si>
  <si>
    <t>Shaka et al., AE, 2004</t>
  </si>
  <si>
    <t>Ahvaz</t>
  </si>
  <si>
    <t>Iran</t>
  </si>
  <si>
    <t>Grimm</t>
  </si>
  <si>
    <t>Shahsavani, JAE, 2012</t>
  </si>
  <si>
    <t>Islamabad</t>
  </si>
  <si>
    <t>Shah et al., JHM, 2007</t>
  </si>
  <si>
    <t>Colombo</t>
  </si>
  <si>
    <t>Sri Lanka</t>
  </si>
  <si>
    <t>Seneviratne et al., APR, 2011</t>
  </si>
  <si>
    <t>Sarnat et al., AE, 2010</t>
  </si>
  <si>
    <t>Bandung</t>
  </si>
  <si>
    <t>Lembang</t>
  </si>
  <si>
    <t>Santoso et al., STE, 2008</t>
  </si>
  <si>
    <t>average of 6 sites</t>
  </si>
  <si>
    <t>Serpong</t>
  </si>
  <si>
    <t>Santoso et al., APR, 2011</t>
  </si>
  <si>
    <t>Tengchong</t>
  </si>
  <si>
    <t>Sang et al., AE, 2013</t>
  </si>
  <si>
    <t>Sang et al., T, 2011</t>
  </si>
  <si>
    <t>Mixed</t>
  </si>
  <si>
    <t>PM2</t>
  </si>
  <si>
    <t>Salma et al., AE, 2004</t>
  </si>
  <si>
    <t>Saliba et al., AR, 2010</t>
  </si>
  <si>
    <t>Emunim</t>
  </si>
  <si>
    <t>Peled et al., PH, 2005</t>
  </si>
  <si>
    <t>Erdemli</t>
  </si>
  <si>
    <t>Kocak et al., AE, 2007</t>
  </si>
  <si>
    <t>monthly from graph</t>
  </si>
  <si>
    <t>Sde Boker</t>
  </si>
  <si>
    <t>Saliba et al., AE, 2007</t>
  </si>
  <si>
    <t>Centro</t>
  </si>
  <si>
    <t>Saldarriaga-Norena et al., JEM, 2009</t>
  </si>
  <si>
    <t>Miravalle</t>
  </si>
  <si>
    <t>Monterrey</t>
  </si>
  <si>
    <t>Dhaka</t>
  </si>
  <si>
    <t>average of five sites</t>
  </si>
  <si>
    <t>Sahin et al., ESPR, 2012</t>
  </si>
  <si>
    <t>Gwangju</t>
  </si>
  <si>
    <t>during biomass buring period</t>
  </si>
  <si>
    <t>Ryu et al., AR, 2007</t>
  </si>
  <si>
    <t>Riyyadh</t>
  </si>
  <si>
    <t>Rushdin  et al., AJG, 2013</t>
  </si>
  <si>
    <t>Ahmedabad</t>
  </si>
  <si>
    <t>Rengarajan et al., AR, 2011</t>
  </si>
  <si>
    <t>Singapore</t>
  </si>
  <si>
    <t>See et al., JGR, 2006</t>
  </si>
  <si>
    <t>Greeveston</t>
  </si>
  <si>
    <t>Grove</t>
  </si>
  <si>
    <t>Tasmania</t>
  </si>
  <si>
    <t>Reisen et al., AE, 2013</t>
  </si>
  <si>
    <t>Manjimup</t>
  </si>
  <si>
    <t>Austrailia</t>
  </si>
  <si>
    <t>DustTrak</t>
  </si>
  <si>
    <t>Ovens</t>
  </si>
  <si>
    <t>smoke settles into valley</t>
  </si>
  <si>
    <t>Reisen et al., AE, 2011</t>
  </si>
  <si>
    <t>Anantapur</t>
  </si>
  <si>
    <t>Reddy et al., AAQR, 2012</t>
  </si>
  <si>
    <t>from BC and BC/PM2.5</t>
  </si>
  <si>
    <t>Zahedan</t>
  </si>
  <si>
    <t>Rashki et al., AQAH, 2013</t>
  </si>
  <si>
    <t>Hirakud</t>
  </si>
  <si>
    <t>Rao et al., BECT, 2012</t>
  </si>
  <si>
    <t>Ram et al., EST, 2012</t>
  </si>
  <si>
    <t>Belgrade</t>
  </si>
  <si>
    <t>Serbia</t>
  </si>
  <si>
    <t>Rajsic et al., ECL, 2008</t>
  </si>
  <si>
    <t>Barapani</t>
  </si>
  <si>
    <t>Rajput et al., 2013</t>
  </si>
  <si>
    <t>Kuala Lumpur</t>
  </si>
  <si>
    <t>Rahman, APR, 2011</t>
  </si>
  <si>
    <t>Shangdianzi</t>
  </si>
  <si>
    <t>Pusheng et al., AE, 2013</t>
  </si>
  <si>
    <t>Pipal et al., AE, 2011</t>
  </si>
  <si>
    <t>Pathak et al., AE, 2011</t>
  </si>
  <si>
    <t>Park et al., JAWMA, 2007</t>
  </si>
  <si>
    <t>Anmyeon-do</t>
  </si>
  <si>
    <t>Park et al., JAC, 2010</t>
  </si>
  <si>
    <t>Park et al., EMA, 2008</t>
  </si>
  <si>
    <t>Park et al., AE, 2011</t>
  </si>
  <si>
    <t>Park et al., AE, 2005</t>
  </si>
  <si>
    <t>Chongju</t>
  </si>
  <si>
    <t>Sihwa</t>
  </si>
  <si>
    <t>Park et al., AE, 2004</t>
  </si>
  <si>
    <t>Park et al., AE, 2001</t>
  </si>
  <si>
    <t>Mukteshwar</t>
  </si>
  <si>
    <t>Panwar et al., EMA, 2013</t>
  </si>
  <si>
    <t>Lagos</t>
  </si>
  <si>
    <t>Nigeria</t>
  </si>
  <si>
    <t>Owoade et al., JAWMA, 2013</t>
  </si>
  <si>
    <t>Pachauri et al., AR, 2013</t>
  </si>
  <si>
    <t>Ozdemir et al., E, 2010</t>
  </si>
  <si>
    <t>Onat et al., APR, 2013</t>
  </si>
  <si>
    <t>Oh et al., AAQR, 2011</t>
  </si>
  <si>
    <t>PM2.1</t>
  </si>
  <si>
    <t>Suwon</t>
  </si>
  <si>
    <t>Navrongo</t>
  </si>
  <si>
    <t>Ofosu et al., JAWMA, 2013</t>
  </si>
  <si>
    <t>Ofosu et al., APR, 2012</t>
  </si>
  <si>
    <t>Ashaiman</t>
  </si>
  <si>
    <t>Manila</t>
  </si>
  <si>
    <t>Oanh et al., AE, 2006</t>
  </si>
  <si>
    <t>Vietnam</t>
  </si>
  <si>
    <t>Philippines</t>
  </si>
  <si>
    <t>Ulsan</t>
  </si>
  <si>
    <t>Ny et al., AAQR, 2011</t>
  </si>
  <si>
    <t>from BC/OC and PM2.5 fraction</t>
  </si>
  <si>
    <t>Niu et al., JEM, 2012</t>
  </si>
  <si>
    <t>Niu et al., IJSD, 2013</t>
  </si>
  <si>
    <t>Niu et al., EP, 2013</t>
  </si>
  <si>
    <t>Dehua</t>
  </si>
  <si>
    <t>Niu et al., AR, 2013</t>
  </si>
  <si>
    <t>Nigde</t>
  </si>
  <si>
    <t>Murillo et al., AR, 2012</t>
  </si>
  <si>
    <t>San Jose</t>
  </si>
  <si>
    <t>Cost Rica</t>
  </si>
  <si>
    <t>Murillo et al., APR, 2013</t>
  </si>
  <si>
    <t>SJ-03</t>
  </si>
  <si>
    <t>HE-01</t>
  </si>
  <si>
    <t>BE-02</t>
  </si>
  <si>
    <t>MO-01</t>
  </si>
  <si>
    <t>Kaikhali</t>
  </si>
  <si>
    <t>Mukherjee et al., JEEA, 2010</t>
  </si>
  <si>
    <t>Dar es Salaam</t>
  </si>
  <si>
    <t>Tanzania</t>
  </si>
  <si>
    <t>Mkoma et al., STE, 2010</t>
  </si>
  <si>
    <t>Morogoro</t>
  </si>
  <si>
    <t>Mkoma et al., NIMPRB, 2010</t>
  </si>
  <si>
    <t>Campinas</t>
  </si>
  <si>
    <t>Metals</t>
  </si>
  <si>
    <t>SO4/
etc.</t>
  </si>
  <si>
    <t>OC/
BC</t>
  </si>
  <si>
    <t>Kaha</t>
  </si>
  <si>
    <t>Shobra Kheima</t>
  </si>
  <si>
    <t>El Massara</t>
  </si>
  <si>
    <t>El Qualaly Square</t>
  </si>
  <si>
    <t>Helwan</t>
  </si>
  <si>
    <t>Zamalek</t>
  </si>
  <si>
    <t>Yang et al., STE, 2007</t>
  </si>
  <si>
    <t>Salam et al., AQAH, 2008</t>
  </si>
  <si>
    <t>Miranda et al., AR, 2008</t>
  </si>
  <si>
    <t>Minoura et al., AE, 2006</t>
  </si>
  <si>
    <t>Bishkek</t>
  </si>
  <si>
    <t>Kyrgyzstan</t>
  </si>
  <si>
    <t>Miller-Schulze et al., 2011</t>
  </si>
  <si>
    <t>Teploklyuchenka</t>
  </si>
  <si>
    <t>Taiyuan</t>
  </si>
  <si>
    <t>Meng et al., AE, 2007</t>
  </si>
  <si>
    <t>Mateus et al., SAB, 2013</t>
  </si>
  <si>
    <t>Massey et al., SICECS, 2009</t>
  </si>
  <si>
    <t>Massey et al., BE, 2012</t>
  </si>
  <si>
    <t>Martinez et al., JAWMA, 2012</t>
  </si>
  <si>
    <t>Mariani et al., AE, 2007</t>
  </si>
  <si>
    <t>Mansha et al., STE, 2012</t>
  </si>
  <si>
    <t>Karachi</t>
  </si>
  <si>
    <t>Kabul</t>
  </si>
  <si>
    <t>Magnusson et al., MM, 2012</t>
  </si>
  <si>
    <t>Afghanistan</t>
  </si>
  <si>
    <t>Loyola et al., JBCS, 2012</t>
  </si>
  <si>
    <t>Louie et al., STE, 2005; Louie et al., AE, 2005</t>
  </si>
  <si>
    <t>Lopez-Veneroni et al., AE, 2009</t>
  </si>
  <si>
    <t>Cordoba</t>
  </si>
  <si>
    <t>Argentina</t>
  </si>
  <si>
    <t>Lopez et al., AE, 2011</t>
  </si>
  <si>
    <t>Lodhi et al., JBCS, 2009</t>
  </si>
  <si>
    <t>Liu et al., AE, 2008</t>
  </si>
  <si>
    <t>Li et al., P, 2009</t>
  </si>
  <si>
    <t>Wuchi</t>
  </si>
  <si>
    <t>Taichung</t>
  </si>
  <si>
    <t>Changhwa</t>
  </si>
  <si>
    <t>Tsaotun</t>
  </si>
  <si>
    <t>Nantou</t>
  </si>
  <si>
    <t>Shangtung</t>
  </si>
  <si>
    <t>Puli</t>
  </si>
  <si>
    <t>Lin et al., EF, 2009</t>
  </si>
  <si>
    <t>Kaohsiung City</t>
  </si>
  <si>
    <t>Lin et al., AE, 2001</t>
  </si>
  <si>
    <t>Lin et al., AAQR, 2008</t>
  </si>
  <si>
    <t>Fooyin</t>
  </si>
  <si>
    <t>Chiautou</t>
  </si>
  <si>
    <t>Chenjen</t>
  </si>
  <si>
    <t>Choujau</t>
  </si>
  <si>
    <t>Lim et al., ACP, 2012</t>
  </si>
  <si>
    <t>Jeju Island</t>
  </si>
  <si>
    <t>Li et al., JAC, 2008</t>
  </si>
  <si>
    <t>Urumqi</t>
  </si>
  <si>
    <t>Li et al., AAQR, 2012</t>
  </si>
  <si>
    <t>Li et al., AAQR, 2009</t>
  </si>
  <si>
    <t>Lestari et al., AE, 2009</t>
  </si>
  <si>
    <t>Lee et al., AR, 2013</t>
  </si>
  <si>
    <t>Nasiruddin et al., CAI, 2008</t>
  </si>
  <si>
    <t>Lee et al., AR, 2008</t>
  </si>
  <si>
    <t>Lee et al., AE, 2011</t>
  </si>
  <si>
    <t>Lulin</t>
  </si>
  <si>
    <t>Lee et al., AE, 2002</t>
  </si>
  <si>
    <t>Tokchok Island</t>
  </si>
  <si>
    <t>Lee et al., AE, 2001b</t>
  </si>
  <si>
    <t>Lee et al., AE, 2001</t>
  </si>
  <si>
    <t>Kosan</t>
  </si>
  <si>
    <t>Kangwha</t>
  </si>
  <si>
    <t>Hyderabad</t>
  </si>
  <si>
    <t>Latha et al., IJEHR, 2005</t>
  </si>
  <si>
    <t>Shenzhen</t>
  </si>
  <si>
    <t>Zhuhai</t>
  </si>
  <si>
    <t>Lai et al., JES, 2007</t>
  </si>
  <si>
    <t>Mafikeng</t>
  </si>
  <si>
    <t>South Africa</t>
  </si>
  <si>
    <t>Laakso et al., ACP, 2008</t>
  </si>
  <si>
    <t>Kuvarega et al., EMA, 2008</t>
  </si>
  <si>
    <t>Harare</t>
  </si>
  <si>
    <t>Zimbabwe</t>
  </si>
  <si>
    <t>Kuo et al., JAWMA, 2013</t>
  </si>
  <si>
    <t>Kumar et al., EMA, 2006</t>
  </si>
  <si>
    <t>Kolkata</t>
  </si>
  <si>
    <t>World Bank, 2004</t>
  </si>
  <si>
    <t>Kumar et al., AST, 2006</t>
  </si>
  <si>
    <t>Photometric</t>
  </si>
  <si>
    <t>Kumar et al., AE, 2007</t>
  </si>
  <si>
    <t>Maebashi</t>
  </si>
  <si>
    <t>Akagi</t>
  </si>
  <si>
    <t>Kumagai et al., AE, 2009</t>
  </si>
  <si>
    <t>Kulshrestha et al., STE, 2009</t>
  </si>
  <si>
    <t>Kulshrestha et al., JAC, 2009</t>
  </si>
  <si>
    <t>Kouyoumdjian et al., ACP, 2006</t>
  </si>
  <si>
    <t>Kothai et al., AAQR, 2008</t>
  </si>
  <si>
    <t>Year assumed</t>
  </si>
  <si>
    <t>Kim et al., JGR, 2007</t>
  </si>
  <si>
    <t>Gosan</t>
  </si>
  <si>
    <t>Incheon</t>
  </si>
  <si>
    <t>Cheongwon</t>
  </si>
  <si>
    <t>Kim et al., APJAS, 2010</t>
  </si>
  <si>
    <t>Kim et al., AE, 2011</t>
  </si>
  <si>
    <t>Kim et al., AE, 2009</t>
  </si>
  <si>
    <t>Deokjeok</t>
  </si>
  <si>
    <t>Kim et al., AE, 2007</t>
  </si>
  <si>
    <t>Kim et al., AE, 2006</t>
  </si>
  <si>
    <t>Khodeir et al., APR, 2012</t>
  </si>
  <si>
    <t>Jeddah</t>
  </si>
  <si>
    <t>Khare et al., T, 2011</t>
  </si>
  <si>
    <t>Jorhat</t>
  </si>
  <si>
    <t>Bangladesh</t>
  </si>
  <si>
    <t>Yokohama</t>
  </si>
  <si>
    <t>Khan et al., AR, 2010</t>
  </si>
  <si>
    <t>Petaling Jaya</t>
  </si>
  <si>
    <t>Gombak</t>
  </si>
  <si>
    <t>Keywood et al., ACP, 2003</t>
  </si>
  <si>
    <t>Temuco</t>
  </si>
  <si>
    <t>Rancagua</t>
  </si>
  <si>
    <t>Vina del Mar</t>
  </si>
  <si>
    <t>Valparaiso</t>
  </si>
  <si>
    <t>Iquique</t>
  </si>
  <si>
    <t>Kavouras et al., JAWMA, 2001</t>
  </si>
  <si>
    <t>Kaushar et al., AAQR, 2013</t>
  </si>
  <si>
    <t>Karaca et al., C, 2005</t>
  </si>
  <si>
    <t>Kang et al., JAWMA, 2004</t>
  </si>
  <si>
    <t>Dalanzadgad</t>
  </si>
  <si>
    <t>Sainshand</t>
  </si>
  <si>
    <t>Mongolia</t>
  </si>
  <si>
    <t>Nephelometer</t>
  </si>
  <si>
    <t>Jugder et al., GPC, 2011</t>
  </si>
  <si>
    <t>Joseph et al., AAQR, 2012</t>
  </si>
  <si>
    <t>Antofagasta</t>
  </si>
  <si>
    <t>Jorquera et al., STE, 2013</t>
  </si>
  <si>
    <t>Jorquera et al., STE, 2012</t>
  </si>
  <si>
    <t>Tocopilla</t>
  </si>
  <si>
    <t>Jorquera et al., EMA, 2009</t>
  </si>
  <si>
    <t>Aerosol Spectrometer</t>
  </si>
  <si>
    <t>Jeong et al., JEM, 2011</t>
  </si>
  <si>
    <t>Hyvarinen et al., ACP, 2011</t>
  </si>
  <si>
    <t>Gual Pahari</t>
  </si>
  <si>
    <t>Hyvarinen et al., ACP, 2010</t>
  </si>
  <si>
    <t>Hopke et al., STE, 2008</t>
  </si>
  <si>
    <t>Liverpool</t>
  </si>
  <si>
    <t>Lucas Heights</t>
  </si>
  <si>
    <t>Atomic Energy Centre</t>
  </si>
  <si>
    <t>Farm Gate</t>
  </si>
  <si>
    <t>Vashi</t>
  </si>
  <si>
    <t>Trombay</t>
  </si>
  <si>
    <t>Daejeon</t>
  </si>
  <si>
    <t>Seaview</t>
  </si>
  <si>
    <t>Pathuumthani</t>
  </si>
  <si>
    <t>Hangzhou</t>
  </si>
  <si>
    <t>Unkown</t>
  </si>
  <si>
    <t>Hong et al., P, 2013</t>
  </si>
  <si>
    <t>Ho et al., JHM, 2006</t>
  </si>
  <si>
    <t>Ho et al., AE, 2003</t>
  </si>
  <si>
    <t>Hieu et al., AR, 2010</t>
  </si>
  <si>
    <t>Kyoto</t>
  </si>
  <si>
    <t>Ulan-Bator</t>
  </si>
  <si>
    <t>He et al., AE, 2004</t>
  </si>
  <si>
    <t>He et al., AE, 2003</t>
  </si>
  <si>
    <t>Taean</t>
  </si>
  <si>
    <t>He et al., AE, 2001</t>
  </si>
  <si>
    <t>He et al., ACP, 2012</t>
  </si>
  <si>
    <t>Shenyang</t>
  </si>
  <si>
    <t>Anshan</t>
  </si>
  <si>
    <t>Fushun</t>
  </si>
  <si>
    <t>Jinzhou</t>
  </si>
  <si>
    <t>Han et al., WASP, 2010</t>
  </si>
  <si>
    <t>Han et al., SCSBC, 2005</t>
  </si>
  <si>
    <t>Han et al., JAC, 2011</t>
  </si>
  <si>
    <t>Chuncheon</t>
  </si>
  <si>
    <t>Han et al., EMA, 2005</t>
  </si>
  <si>
    <t>Han et al., AE, 2008</t>
  </si>
  <si>
    <t>Wusumu</t>
  </si>
  <si>
    <t>Han et al., AE, 2008b</t>
  </si>
  <si>
    <t>Gupta et al., EMA, 2006</t>
  </si>
  <si>
    <t>Gu et al., P, 2011</t>
  </si>
  <si>
    <t>Tianan</t>
  </si>
  <si>
    <t>Gummeneni, AR, 2011</t>
  </si>
  <si>
    <t>Gu et al., AAQR, 2010</t>
  </si>
  <si>
    <t>Gramsch et al., JAWMA, 2004</t>
  </si>
  <si>
    <t>Gramsch et al., AE, 2009</t>
  </si>
  <si>
    <t>Scanning Mobility Particle Spectrometer</t>
  </si>
  <si>
    <t>Godoy et al., AE, 2009</t>
  </si>
  <si>
    <t>Zhengzhou</t>
  </si>
  <si>
    <t>Geng et al., P, 2013</t>
  </si>
  <si>
    <t>Nairobi</t>
  </si>
  <si>
    <t>Kenya</t>
  </si>
  <si>
    <t>Gatari et al., XS, 2009</t>
  </si>
  <si>
    <t>Kinney et al., ESP, 2011</t>
  </si>
  <si>
    <t>rural site only</t>
  </si>
  <si>
    <t>Gao et al., AE, 2009</t>
  </si>
  <si>
    <t>Londrina</t>
  </si>
  <si>
    <t>Freitas et al., JBCS 2012</t>
  </si>
  <si>
    <t>Feng et al., AR, 2009</t>
  </si>
  <si>
    <t>Fang et al., STE, 1999</t>
  </si>
  <si>
    <t>Fang et al., STE, 1999b</t>
  </si>
  <si>
    <t>Fang et al., EF, 2007</t>
  </si>
  <si>
    <t>Banciao</t>
  </si>
  <si>
    <t>Guanyin</t>
  </si>
  <si>
    <t>Shalu</t>
  </si>
  <si>
    <t>Erlin</t>
  </si>
  <si>
    <t>Hualien</t>
  </si>
  <si>
    <t>Taitung</t>
  </si>
  <si>
    <t>Fang et al., AR, 2010</t>
  </si>
  <si>
    <t>Engelbrecht et al., IT, 2009</t>
  </si>
  <si>
    <t>Engling et al., T, 2011</t>
  </si>
  <si>
    <t>Djibouti</t>
  </si>
  <si>
    <t>Bagram</t>
  </si>
  <si>
    <t>Khowst</t>
  </si>
  <si>
    <t>Qatar</t>
  </si>
  <si>
    <t>United Arab Emirates</t>
  </si>
  <si>
    <t>Iraq</t>
  </si>
  <si>
    <t>Balad</t>
  </si>
  <si>
    <t>Baghdad</t>
  </si>
  <si>
    <t>Tikrit</t>
  </si>
  <si>
    <t>Taji</t>
  </si>
  <si>
    <t>Al Asad</t>
  </si>
  <si>
    <t>Tallil</t>
  </si>
  <si>
    <t>Camp Lemonnier</t>
  </si>
  <si>
    <t>Al Udeid</t>
  </si>
  <si>
    <t>Al Dhafra</t>
  </si>
  <si>
    <t>42+26/60</t>
  </si>
  <si>
    <t>Navistar</t>
  </si>
  <si>
    <t>Ali Al Salem</t>
  </si>
  <si>
    <t>KNB</t>
  </si>
  <si>
    <t>Military Use</t>
  </si>
  <si>
    <t>Southern</t>
  </si>
  <si>
    <t>Duan et al., STE, 2006</t>
  </si>
  <si>
    <t>Duan et al., AE, 2007</t>
  </si>
  <si>
    <t>Dakar</t>
  </si>
  <si>
    <t>Senegal</t>
  </si>
  <si>
    <t>Aethalometer</t>
  </si>
  <si>
    <t>Documbia et al., AE, 2012</t>
  </si>
  <si>
    <t>Ding et al., JGR, 2012</t>
  </si>
  <si>
    <t>Wangqingsha</t>
  </si>
  <si>
    <t>Ding et al., AE 2011</t>
  </si>
  <si>
    <t>Mass Analyzer</t>
  </si>
  <si>
    <t>Ding et al., ACP, 2013</t>
  </si>
  <si>
    <t>Diaz et al., EES, 2009</t>
  </si>
  <si>
    <t>Raipar</t>
  </si>
  <si>
    <t>Durg City</t>
  </si>
  <si>
    <t>Deshmukh et al., AQAH, 2013b</t>
  </si>
  <si>
    <t>Deshmukh et al., AQAH, 2013</t>
  </si>
  <si>
    <t>Deng et al., JAWMA, 2013</t>
  </si>
  <si>
    <t>Deng et al., ACP, 2011</t>
  </si>
  <si>
    <t>Duolun</t>
  </si>
  <si>
    <t>deMiranda et al., AQAH, 2012</t>
  </si>
  <si>
    <t>Sao Paulo</t>
  </si>
  <si>
    <t>Belo Horizonte</t>
  </si>
  <si>
    <t>Porto Alegre</t>
  </si>
  <si>
    <t>Curitiba</t>
  </si>
  <si>
    <t>Recife</t>
  </si>
  <si>
    <t>Light Scattering</t>
  </si>
  <si>
    <t>Zamyn-Uud</t>
  </si>
  <si>
    <t>Dementeva et al., RMH, 2013</t>
  </si>
  <si>
    <t>Ulaanbaatar</t>
  </si>
  <si>
    <t>Davy et al., APR, 2011</t>
  </si>
  <si>
    <t>Das et al., EMA, 2006</t>
  </si>
  <si>
    <t>Dan et al., AE, 2004</t>
  </si>
  <si>
    <t>Charqueadas</t>
  </si>
  <si>
    <t>Dallarosa et al., AR, 2008</t>
  </si>
  <si>
    <t>Dai et al., AE, 2013</t>
  </si>
  <si>
    <t>GRIMM aerosol spectrometer</t>
  </si>
  <si>
    <t>Chak</t>
  </si>
  <si>
    <t>Bhaun</t>
  </si>
  <si>
    <t>Cohen et al., CAC, 2002</t>
  </si>
  <si>
    <t>Cheju Island</t>
  </si>
  <si>
    <t>Sado Island</t>
  </si>
  <si>
    <t>Cohen et al., AE, 2010</t>
  </si>
  <si>
    <t>Harvard Impactor</t>
  </si>
  <si>
    <t>Belo Gorizonte</t>
  </si>
  <si>
    <t>Quartz and Teflon filters</t>
  </si>
  <si>
    <t>New Dehli</t>
  </si>
  <si>
    <t>Laser Photometer</t>
  </si>
  <si>
    <t>Iasi</t>
  </si>
  <si>
    <t>Romania</t>
  </si>
  <si>
    <t>SFU/gravimetric</t>
  </si>
  <si>
    <t>Punjab</t>
  </si>
  <si>
    <t>Whatman-quartz fibers filters</t>
  </si>
  <si>
    <t>Gravimetric/Partisol</t>
  </si>
  <si>
    <t>Gent' stacked filter/nucleopore</t>
  </si>
  <si>
    <t>Rajshahi</t>
  </si>
  <si>
    <t>Air Metrics MiniVol samplers (Teflon and Quartz)</t>
  </si>
  <si>
    <t>Gent stacked filter unit</t>
  </si>
  <si>
    <t>Dichotomous Impactor/Teflon</t>
  </si>
  <si>
    <t>dust monitor (FH 62 C14 Thermo Andersen Inc.)</t>
  </si>
  <si>
    <t>Ouagadougou</t>
  </si>
  <si>
    <t>Burkina Faso</t>
  </si>
  <si>
    <t>Cyclone (Aerosol Particle Sampler) with Polycarbonate Filters</t>
  </si>
  <si>
    <t>Dewll-Higgs type cyclone with polycarbonate filters</t>
  </si>
  <si>
    <t>Bangalore</t>
  </si>
  <si>
    <t>Dusttrak Nepholometer</t>
  </si>
  <si>
    <t>SFU/Teflon</t>
  </si>
  <si>
    <t>Candiota region</t>
  </si>
  <si>
    <t>Teflon</t>
  </si>
  <si>
    <t>IMPROVE</t>
  </si>
  <si>
    <t>Changchun</t>
  </si>
  <si>
    <t>Jinchang</t>
  </si>
  <si>
    <t>Guanzhou</t>
  </si>
  <si>
    <t>Nagarkot</t>
  </si>
  <si>
    <t>Teflon Zefluor filters</t>
  </si>
  <si>
    <t>Stacked Filter Units</t>
  </si>
  <si>
    <t>Unspecified aerosol  speciation equipment</t>
  </si>
  <si>
    <t>R&amp;P TEOM Series 1400a</t>
  </si>
  <si>
    <t>impactor/Quartz Filters</t>
  </si>
  <si>
    <t>Cascade Impactor</t>
  </si>
  <si>
    <t>Chaochou</t>
  </si>
  <si>
    <t>Dichotomous sampler/MOUDI</t>
  </si>
  <si>
    <t>Mt. Front Lulin</t>
  </si>
  <si>
    <t>10 stage MOUDIs</t>
  </si>
  <si>
    <t>URG-3000ABC</t>
  </si>
  <si>
    <t>LIDAR site</t>
  </si>
  <si>
    <t>Ren-Ai</t>
  </si>
  <si>
    <t>Annular denuder system</t>
  </si>
  <si>
    <t>Multiple Reference Ambient Air Sampler (THERMO)</t>
  </si>
  <si>
    <t>Kaoshiung</t>
  </si>
  <si>
    <t>Cape Fuguei</t>
  </si>
  <si>
    <t>Penghu</t>
  </si>
  <si>
    <t>Dehli</t>
  </si>
  <si>
    <t>MOUDI</t>
  </si>
  <si>
    <t>Tong Liang</t>
  </si>
  <si>
    <t>Mini-volume samplers (Teflon Filters)</t>
  </si>
  <si>
    <t>MiniVol</t>
  </si>
  <si>
    <t>Andreae et al., AE, 2008</t>
  </si>
  <si>
    <t>Apte et al., AE, 2011</t>
  </si>
  <si>
    <t>Arsene et al., AE, 2011</t>
  </si>
  <si>
    <t>Awasthi et al., JEM 2011</t>
  </si>
  <si>
    <t>Batmunkh et al., JAWMA, 2013</t>
  </si>
  <si>
    <t>Begum et al, AE, 2004</t>
  </si>
  <si>
    <t>Begum et al, APR, 2013</t>
  </si>
  <si>
    <t>Begum et al, JAWMA, 2013</t>
  </si>
  <si>
    <t>Begum et al, STE, 2006</t>
  </si>
  <si>
    <t>Bennet et al, XS, 2005</t>
  </si>
  <si>
    <t>Bisht et al, NH, 2013</t>
  </si>
  <si>
    <t>Boman et al, XS, 2009</t>
  </si>
  <si>
    <t>Boman et al, XS, 2013</t>
  </si>
  <si>
    <t>Both et al, EST, 2011</t>
  </si>
  <si>
    <t>Bourotte et al, AE, 2005</t>
  </si>
  <si>
    <t>Braga et al, NIMPRB, 2004</t>
  </si>
  <si>
    <t>Brown et al, JAWM, 2008</t>
  </si>
  <si>
    <t>Cao et al, JGR, 2007</t>
  </si>
  <si>
    <t>Carrico et al, AE, 2003</t>
  </si>
  <si>
    <t>Castanho et al, AE, 2001</t>
  </si>
  <si>
    <t>Chang et al, AE, 2010</t>
  </si>
  <si>
    <t>Chatterjee et al, JAC, 2012</t>
  </si>
  <si>
    <t>Chen et al, AAQR, 2013</t>
  </si>
  <si>
    <t>Chen et al, AE, 2004</t>
  </si>
  <si>
    <t>Chen et al, AE, 2013</t>
  </si>
  <si>
    <t>Chen et al, AQAH, 2013</t>
  </si>
  <si>
    <t>Cheng et al, BECT, 2007</t>
  </si>
  <si>
    <t>Cheng et al, JEM, 2011</t>
  </si>
  <si>
    <t>Calculated Average from 3 time periods</t>
  </si>
  <si>
    <t>-</t>
  </si>
  <si>
    <t>Chen et al, STE, 1999</t>
  </si>
  <si>
    <t>Choi et al, AE, 2012</t>
  </si>
  <si>
    <t>Chou et al, ACP, 2010</t>
  </si>
  <si>
    <t>Chowdhury, PhD, 2004</t>
  </si>
  <si>
    <t>Chow et al, JESH, 2006</t>
  </si>
  <si>
    <t>Chuersuwan et al, EI, 2008</t>
  </si>
  <si>
    <t>Chang et al, AAQR, 2013</t>
  </si>
  <si>
    <t>many sites within +/- 0.2 degrees</t>
  </si>
  <si>
    <t>Two sampling periods averaged for mean</t>
  </si>
  <si>
    <t>Colbeck et al., IA, 2010</t>
  </si>
  <si>
    <t>Mean PM2.2 from graph</t>
  </si>
  <si>
    <t>Balasubramanian et al., JGR, 2003</t>
  </si>
  <si>
    <t>Zhang et al., CSB, 2007</t>
  </si>
  <si>
    <t>Full Reference</t>
  </si>
  <si>
    <t>Engelbrecht, JP, EV McDonald, JA Gillies, RKM Jayanty, G Casuccio and AW Gertler. 2009. Characterizing Mineral Dusts and Other Aerosols from the Middle EastPart 1: Ambient Sampling. Inhalation Toxicology 21(4): 297-326</t>
  </si>
  <si>
    <t>Abba, EJ, S Unnikrishnan, R Kumar, B Yeole and Z Chowdhury. 2012. Fine aerosol and PAH carcinogenicity estimation in outdoor environment of Mumbai City, India. Int. J. Environ. Health Res. 22(2): 134-149.</t>
  </si>
  <si>
    <t>Aboh, IJK, D Henriksson, J Laursen, M Lundin, FG Ofosu, N Pind, et al. 2009. Identification of aerosol particle sources in semi-rural area of Kwabenya, near Accra, Ghana, by EDXRF techniques. X-Ray Spectrometry 38(4): 348-353.</t>
  </si>
  <si>
    <t>Aboh, IJK, D Henriksson, J Laursen, M Lundin, FG Ofosu, N Pind, et al. 2009. Identification of aerosol particle sources in semi-rural area of Kwabenya, near Accra, Ghana, by EDXRF techniques. X-Ray Spectrometry 38(4): 348-353; Abu-Allaban, M, DH Lowenthal, AW Gertler and M Labib. 2007. Sources of PM10 and PM2.5 in Cairo's ambient air. Environmental Monitoring and Assessment(133, Numbers 1-3): 417-425-417-425.</t>
  </si>
  <si>
    <t>Abu-Allaban, M, AW Gertler and DH Lowenthal. 2002. A preliminary apportionment of the sources of ambient PM10, PM2.5, and VOCs in Cairo. Atmos. Environ. 36(35): 5549-5557;  Abu-Allaban, M, DH Lowenthal, AW Gertler and M Labib. 2007. Sources of PM10 and PM2.5 in Cairo's ambient air. Environmental Monitoring and Assessment(133, Numbers 1-3): 417-425-417-425.</t>
  </si>
  <si>
    <t>Alolayan, MA, KW Brown, JS Evans, WS Bouhamra and P Koutralds. 2013. Source apportionment of fine particles in Kuwait City. Science of the Total Environment 448: 14–25.</t>
  </si>
  <si>
    <t>Andrade, MD, RM de Miranda, A Fornaro, A Kerr, B Oyama, PA de Andre, et al. 2012. Vehicle emissions and PM2.5 mass concentrations in six Brazilian cities. Air Qual. Atmos. Health 5(1): 79-88.</t>
  </si>
  <si>
    <t>Andrade et al., AQAH, 2012</t>
  </si>
  <si>
    <t>Andreae, TW, MO Andreae, C Ichoku, W Maenhaut, J Cafmeyer, A Karnieli, et al. 2002. Light scattering by dust and antropogenic aerosol at a remote site in the Negev desert, Israel. J. Geophys. Res. 107(D2).</t>
  </si>
  <si>
    <t>Andreae et al., JGR, 2002</t>
  </si>
  <si>
    <t>Andreae, MO, O Schmid, H Yang, D Chand, JZ Yu, LM Zeng, et al. 2008. Optical properties and chemical composition of the atmospheric aerosol in urban Guangzhou, China. Atmos. Environ. 42(25): 6335-6350.</t>
  </si>
  <si>
    <t>Apte, JS, TW Kirchstetter, AH Reich, SJ Deshpande, G Kaushik, A Chel, et al. 2011. Concentrations of fine, ultrafine, and black carbon particles in auto-rickshaws in New Delhi, India. Atmos. Environ. 45(26): 4470-4480.</t>
  </si>
  <si>
    <t>Arsene, C, RI Olariu, P Zarmpas, M Kanakidou and N Mihalopoulos. 2011. Ion composition of coarse and fine particles in Iasi, north-eastern Romania: Implications for aerosols chemistry in the area. Atmos. Environ. 45(4): 906-916.</t>
  </si>
  <si>
    <t>Aryal, RK, BK Lee, R Karki, A Gurung, B Baral and SH Byeon. 2009. Dynamics of PM2.5 concentrations in Kathmandu Valley, Nepal. Journal of Hazardous Materials 168(2-3): 732-738.</t>
  </si>
  <si>
    <t>Awasthi, A, R Agarwal, SK Mittal, N Singh, K Singh and PK Gupta. 2011. Study of size and mass distribution of particulate matter due to crop residue burning with seasonal variation in rural area of Punjab, India. Journal of environmental monitoring 13(4): 1073-1081.</t>
  </si>
  <si>
    <t>Ibn Azkar, M, S Chatani and K Sudo. 2012. Simulation of urban and regional air pollution in Bangladesh. J. Geophys. Res. 117.</t>
  </si>
  <si>
    <t>Ibn Azkar et al., JGR, 2012</t>
  </si>
  <si>
    <t>Balasubramanian, R, WB Qian, S Decesari, MC Facchini and S Fuzzi. 2003. Comprehensive characterization of PM2.5 aerosols in Singapore. J. Geophys. Res. 108(D16).</t>
  </si>
  <si>
    <t>Batmunkh, T, YJ Kim, JS Jung, K Park and B Tumendemberel. 2013. Chemical characteristics of fine particulate matters measured during severe winter haze events in Ulaanbaatar, Mongolia. Journal of the Air &amp; Waste Management Association 63(6): 659-670.</t>
  </si>
  <si>
    <t>Begum, BA, E Kim, SK Biswas and PK Hopke. 2004. Investigation of sources of atmospheric aerosol at urban and semi-urban areas in Bangladesh. Atmos. Environ. 38(19): 3025-3025-3038.</t>
  </si>
  <si>
    <t>Begum, BA, PK Hopke and A Markwitz. 2013. Air pollution by fine particulate matter in Bangladesh. Atmospheric Pollution Research 4(1): 75-86.</t>
  </si>
  <si>
    <t>Begum, BA and PK Hopke. 2013. Identification of haze-creating sources from fine particulate matter in Dhaka aerosol using carbon fractions. Journal of the Air &amp; Waste Management Association 63(9): 1046-1057.</t>
  </si>
  <si>
    <t>Begum, BA, SK Biswas and PK Hopke. 2006. Temporal variations and spatial distribution of ambient PM2.2 and PM10 concentrations in Dhaka, Bangladesh. The Science of the total environment 358(1-3): 36-45.</t>
  </si>
  <si>
    <t>Bennet, C, P Jonsson and ES Lindgren. 2005. Concentrations and sources of trace elements in particulate air pollution, Dar es Salaam, Tanzania, studied by EDXRF. X-Ray Spectrometry 34(1): 1-6.</t>
  </si>
  <si>
    <t>Bisht, DS, S Tiwari, AK Srivastava and MK Srivastava. 2013. Assessment of air quality during 19th Common Wealth Games at Delhi, India. Natural Hazards 66(2): 141–154.</t>
  </si>
  <si>
    <t>Boman, J, J Linden, S Thorsson, B Holmer and I Eliasson. 2009. A tentative study of urban and suburban fine particles (PM2.5) collected in Ouagadougou, Burkina Faso. X-Ray Spectrometry 38(4): 354-362.</t>
  </si>
  <si>
    <t>Boman, J, AA Shaltout, AM Abozied and SK Hassan. 2013. On the elemental composition of PM2.5 in central Cairo, Egypt. X-Ray Spectrometry 42(4): 276-283.</t>
  </si>
  <si>
    <t>Both, AF, A Balakrishnan, B Joseph and JD Marshall. 2011. Spatiotemporal Aspects of Real-Time PM2.5: Low- and Middle-Income Neighborhoods in Bangalore, India. Environ. Sci. Technol. 45(13): 5629-5636.</t>
  </si>
  <si>
    <t>Bourotte, C, MC Forti, S Taniguchi, MC Bicego and PA Lotufo. 2005. A wintertime study of PAHs in fine and coarse aerosols in Sao Paulo city, Brazil. Atmos. Environ. 39(21): 3799-3811.</t>
  </si>
  <si>
    <t>Braga, CF, EC Teixeira, L Meira, F Wiegand, ML Yoneama and JF Dias. 2005. Elemental composition of PM10 and PM2.5 in urban environment in South Brazil. Atmos. Environ. 39(10): 1801-1815.</t>
  </si>
  <si>
    <t>Brown, KW, W Bouhamra, DP Lamoureux, JS Evans and P Koutrakis. 2008. Characterization of particulate matter for three sites in Kuwait. Journal of the Air &amp; Waste Management Association 58(8): 994–1003.</t>
  </si>
  <si>
    <t>Cao, JJ, SC Lee, JC Chow, JG Watson, KF Ho, RJ Zhang, et al. 2007. Spatial and seasonal distributions of carbonaceous aerosols over China. J. Geophys. Res. 112(D22).</t>
  </si>
  <si>
    <t>Carrico, CM, MH Bergin, AB Shrestha, JE Dibb, L Gomes and JM Harris. 2003. The importance of carbon and mineral dust to seasonal aerosol properties in the Nepal Himalaya. Atmos. Environ. 37(20): 2811-2824.</t>
  </si>
  <si>
    <t>Castanho, ADA and P Artaxa. 2001. Wintertime and summertime SÃ£o Paulo aerosol source apportionment study. Atmos. Environ. 35: 4902-4889.</t>
  </si>
  <si>
    <t>Chang, SY, CCK Chou, S Liu and YH Zhang. 2013. The Characteristics of PM2.5 and Its Chemical Compositions between Different Prevailing Wind Patterns in Guangzhou. Aerosol and air quality research 13(4): 1373-1383.</t>
  </si>
  <si>
    <t>Chang, SC, CCK Chou, CC Chan and CT Lee. 2010. Temporal characteristics from continuous measurements of PM2.5 and speciation at the Taipei Aerosol Supersite from 2002 to 2008. Atmos. Environ. 44(8): 1088-1096.</t>
  </si>
  <si>
    <t>Chatterjee, A, C Dutta, TK Jana and S Sen. 2012. Fine mode aerosol chemistry over a tropical urban atmosphere: characterization of ionic and carbonaceous species. Journal of Atmospheric Chemistry 69(2): 83-100.</t>
  </si>
  <si>
    <t>Chen, HW, WY Chen, CN Chang and YH Chuang. 2013. Characterization of Particles in the Ambience of the High-Tech Industrial Park of Central Taiwan. Aerosol and air quality research 13(2): 699-708.</t>
  </si>
  <si>
    <t>Chen, SJ, LT Hsieh, MJ Kao, WY Lin, KL Huang and CC Lin. 2004. Characteristics of particles sampled in southern Taiwan during the Asian dust storm periods in 2000 and 2001. Atmos. Environ. 38(35): 5925-5934.</t>
  </si>
  <si>
    <t>Chen, SC, SC Hsu, CJ Tsai, CCK Chou, NH Lin, CT Lee, et al. 2013. Dynamic variations of ultrafine, fine and coarse particles at the Lu-Lin background site in East Asia. Atmos. Environ. 78: 154-162.</t>
  </si>
  <si>
    <t>Chen, BB, LG Sverdlik, SA Imashev, PA Solomon, J Lantz, JJ Schauer, et al. 2013. Empirical relationship between particulate matter and aerosol optical depth over Northern Tien-Shan, Central Asia. Air Qual. Atmos. Health 6(2): 385-396.</t>
  </si>
  <si>
    <t>Chen, ML, IF Mao and IK Lin. 1999. The PM2.5 and PM10 particles in urban areas of Taiwan. Science of the Total Environment 226(2-3): 227-235.</t>
  </si>
  <si>
    <t>Chen, JM, MG Tan, YL Li, J Zheng, YM Zhang, Z Shan, et al. 2008. Characteristics of trace elements and lead isotope ratios in PM2.5 from four sites in Shanghai. Journal of Hazardous Materials 156(1-3): 36-43.</t>
  </si>
  <si>
    <t>Cheng, MT, CL Horng and YC Lin. 2007. Characteristics of atmospheric aerosol and acidic gases from urban and forest sites in central Taiwan. Bulletin of Environmental Contamination and Toxicology 79(6): 674-677.</t>
  </si>
  <si>
    <t>Cheng, SH, LX Yang, XH Zhou, Z Wang, Y Zhou, XM Gao, et al. 2011. Evaluating PM2.5 ionic components and source apportionment in Jinan, China from 2004 to 2008 using trajectory statistical methods. Journal of environmental monitoring 13(6): 1662-1671.</t>
  </si>
  <si>
    <t>Choi, JK, JB Heo, SJ Ban, SM Yi and KD Zoh. 2012. Chemical characteristics of PM2.5 aerosol in Incheon, Korea. Atmos. Environ. 60: 583-592.</t>
  </si>
  <si>
    <t>Chou, CCK, CT Lee, MT Cheng, CS Yuan, SJ Chen, YL Wu, et al. 2010. Seasonal variation and spatial distribution of carbonaceous aerosols in Taiwan. Atmos. Chem. Phys. 10(19): 9563-9578.</t>
  </si>
  <si>
    <t>Chow, JC, JG Watson, LWA Chen, SSH Ho, D Koracin, B Zielinska, et al. 2006. Exposure to PM2.5 and PAHs from the Tong Liang, China epidemiological study. Journal of Environmental Science and Health Part a-Toxic/Hazardous Substances &amp; Environmental Engineering 41(4): 517-542.</t>
  </si>
  <si>
    <t>Chowdhury, M. 2004. Characterization of fine particle air pollution in the indian subcontinent. PhD. Dissertation, Georgia Institute of Technology.</t>
  </si>
  <si>
    <t>Chuersuwan, N, S Nimrat, S Lekphet and T Kerdkumrai. 2008. Levels and major sources of PM2.5 and PM10 in Bangkok Metropolitan Region. Environment International 34(5): 671-677.</t>
  </si>
  <si>
    <t>Chung, YS, SH Kim, JH Moon, YJ Kim, JM Lim and JH Lee. 2005. Source identification and long-term monitoring of airborne particulate matter PM2.5/PM10) in an urban region of Korea. Journal of Radioanalytical and Nuclear Chemistry 267(1): 35-48.</t>
  </si>
  <si>
    <t>Chung et al., JRNC, 2005</t>
  </si>
  <si>
    <t>Cohen, DD, J Crawford, E Stelcer and VT Bac. 2010. Characterisation and source apportionment of fine particulate sources at Hanoi from 2001 to 2008. Atmos. Environ. 44(3): 320-328.</t>
  </si>
  <si>
    <t>Cohen, DD, D Garton, E Stelcer, T Wang, S Poon, J Kim, et al. 2002. Characterisation of PM2.5 and PM10 Fine Particle Pollution in Several Asian Regions. 16th Int. Clean Air Conf.</t>
  </si>
  <si>
    <t>Cohen, DD, E Stelcer, FL Santos, M Prior, C Thompson and PCB Pabroa. 2009. Fingerprinting and source apportionment of fine particle pollution in Manila by IBA and PMF techniques: A 7-year study. X-Ray Spectrometry 38(1): 18-25-18-25.</t>
  </si>
  <si>
    <t>Cohen et al., XS, 2009</t>
  </si>
  <si>
    <t>Colbeck, I, ZA Nasir, S Ahmad and Z Ali. 2011. Exposure to PM10, PM2.5, PM1 and Carbon Monoxide on Roads in Lahore, Pakistan. Aerosol and air quality research 11(6): 689-695.</t>
  </si>
  <si>
    <t>Colbeck et al., AAQR, 2011</t>
  </si>
  <si>
    <t>Colbeck, I, ZA Nasir and Z Ali. 2010. Characteristics of indoor/outdoor particulate pollution in urban and rural residential environment of Pakistan. Indoor Air 20(1): 40-51.</t>
  </si>
  <si>
    <t>Dai, W, JQ Gao, G Cao and F Ouyang. 2013. Chemical composition and source identification of PM2.5 in the suburb of Shenzhen, China. Atmospheric Research 122: 391-400.</t>
  </si>
  <si>
    <t>Dallarosa, J, EC Teixeira, L Meira and F Wiegand. 2008. Study of the chemical elements and polycyclic aromatic hydrocarbons in atmospheric particles of PM10 and PM2.5 in the urban and rural areas of South Brazil. Atmospheric Research 89(1-2): 76-92.</t>
  </si>
  <si>
    <t>Dan, M, GS Zhuang, XX Li, HR Tao and YH Zhuang. 2004. The characteristics of carbonaceous species and their sources in PM2.5 in Beijing. Atmos. Environ. 38(21): 3443–3452.</t>
  </si>
  <si>
    <t>Das, M, SK Maiti and U Mukhopadhyay. 2006. Distribution of PM2.5 and PM10-2.5 in PM10 fraction in ambient air due to vehicular pollution in Kolkata megacity. Environmental Monitoring and Assessment 122(1-3): 111-123.</t>
  </si>
  <si>
    <t>Davy, PK, G Gunchin, A Markwitz, WJ Trompetter, BJ Barry, D Shagjjamba, et al. 2011. Air particulate matter pollution in Ulaanbaatar, Mongolia: determination of composition, source contributions and source locations. Atmospheric Pollution Research 2(2): 126-137.</t>
  </si>
  <si>
    <t>Dement'eva, AL, GS Zhamsueva, AS Zayakhanov, VV Tsydypov, AA Ayurzhanaev, D Azzayaa, et al. 2013. Mass concentration of PM10 and PM2.5 fine-dispersed aerosol fractions in the Eastern Gobi Desert. Russian Meteorology and Hydrology 38(2): 80-87.</t>
  </si>
  <si>
    <t>de Miranda, RM, MD Andrade, A Fornaro, R Astolfo, PA de Andre and P Saldiva. 2012. Urban air pollution: a representative survey of PM2.5 mass concentrations in six Brazilian cities. Air Qual. Atmos. Health 5(1): 63-77.</t>
  </si>
  <si>
    <t>Deng, C, G Zhuang, K Huang, J Li, R Zhang, Q Wang, et al. 2011. Chemical characterization of aerosols at the summit of Mountain Tai in Central East China. Atmos. Chem. Phys. 11(14): 7319–7332.</t>
  </si>
  <si>
    <t>Deng, XJ, D Wu, JZ Yu, AKH Lau, F Li, HB Tan, et al. 2013. Characterization of secondary aerosol and its extinction effects on visibility over the Pearl River Delta Region, China. Journal of the Air &amp; Waste Management Association 63(9): 1012-1021.</t>
  </si>
  <si>
    <t>Deshmukh, DK, MK Deb and SL Mkoma. 2013. Size distribution and seasonal variation of size-segregated particulate matter in the ambient air of Raipur city, India. Air Qual. Atmos. Health 6(1): 259-276.</t>
  </si>
  <si>
    <t>Deshmukh, DK, MK Deb, D Verma, SK Verma and J Nirmalkar. 2012. Aerosol Size Distribution and Seasonal Variation in an Urban Area of an Industrial City in Central India. Bulletin of Environmental Contamination and Toxicology 89(5): 1098-1104.</t>
  </si>
  <si>
    <t>Deshmukh et al., BECT, 2012</t>
  </si>
  <si>
    <t>Deshmukh, DK, MK Deb, Y Suzuki and GN Kouvarakis. 2013. Water-soluble ionic composition of PM2.5-10 and PM2.5 aerosols in the lower troposphere of an industrial city Raipur, the eastern central India. Air Qual. Atmos. Health 6(1): 95-110.</t>
  </si>
  <si>
    <t>Diaz, RV and ER Dominguez. 2009. Health risk by inhalation of PM2.5 in the metropolitan zone of the City of Mexico. Ecotoxicology and Environmental Safety 72(3): 866-871.</t>
  </si>
  <si>
    <t>Ding, AJ, CB Fu, XQ Yang, JN Sun, LF Zheng, YN Xie, et al. 2013. Ozone and fine particle in the western Yangtze River Delta: an overview of 1 yr data at the SORPES station. Atmos. Chem. Phys. 13(11): 5813-5830.</t>
  </si>
  <si>
    <t>Ding, XA, XM Wang and M Zheng. 2011. The influence of temperature and aerosol acidity on biogenic secondary organic aerosol tracers: Observations at a rural site in the central Pearl River Delta region, South China. Atmos. Environ. 45(6): 1303-1311.</t>
  </si>
  <si>
    <t>Ding, X, XM Wang, B Gao, XX Fu, QF He, XY Zhao, et al. 2012. Tracer-based estimation of secondary organic carbon in the Pearl River Delta, south China. J. Geophys. Res. 117.</t>
  </si>
  <si>
    <t>Doumbia, EHT, C Liousse, C Galy-Lacaux, SA Ndiaye, B Diop, M Ouafo, et al. 2012. Real time black carbon measurements in West and Central Africa urban sites. Atmos. Environ. 54: 529-537.</t>
  </si>
  <si>
    <t>Duan, JC, JH Tan, DX Cheng, XH Bi, WJ Deng, GY Sheng, et al. 2007. Sources and characteristics of carbonaceous aerosol in two largest cities in Pearl River Delta Region, China. Atmos. Environ. 41(14): 2895-2903.</t>
  </si>
  <si>
    <t>Duan, FK, KB He, YL Ma, FM Yang, XC Yu, SH Cadle, et al. 2006. Concentration and chemical characteristics of PM2.5 in Beijing, China: 2001-2002. Science of the Total Environment 355(1-3): 264–275.</t>
  </si>
  <si>
    <t>Engling, G, YN Zhang, CY Chan, XF Sang, M Lin, KF Ho, et al. 2011. Characterization and sources of aerosol particles over the southeastern Tibetan Plateau during the Southeast Asia biomass-burning season. Tellus Series B-Chemical and Physical Meteorology 63(1): 117-128.</t>
  </si>
  <si>
    <t>Fang, GC and SC Chang. 2010. Atmospheric particulate (PM10 and PM2 (5)) mass concentration and seasonal variation study in the Taiwan area during 2000-2008. Atmospheric Research 98(2-4): 368-377.</t>
  </si>
  <si>
    <t>Fang, GC, YS Wu, WJ Lee, IC Lin and TY Chou. 2007. Ambient air particulates and related ionic species study at Taichung airport, Taiwan. Environmental Forensics 8(1-2): 53-62.</t>
  </si>
  <si>
    <t>Fang, GC, CN Chang, YS Wu, PPC Fu, DG Yang and CC Chu. 1999. Characterization of chemical species in PM2.5 and PM10 aerosols in suburban and rural sites of central Taiwan. Science of the Total Environment 234(1-3): 203-212.</t>
  </si>
  <si>
    <t>Fang, GC, CN Chang, YS Wu, PPC Fu, KF Chang and DG Yang. 1999. The characteristic study of TSP, PM2.5 similar to 10 and PM2.5 in the rural site of central Taiwan. Science of the Total Environment 232(3): 177-184.</t>
  </si>
  <si>
    <t>Feng, YL, YJ Chen, H Guo, GR Zhi, SC Xiong, J Li, et al. 2009. Characteristics of organic and elemental carbon in PM2.5 samples in Shanghai, China. Atmospheric Research 92(4): 434-442.</t>
  </si>
  <si>
    <t>Freitas, AD, LD Martins and MC Solci. 2012. Size-Segregated Particulate Matter and Carboxylic Acids over Urban and Rural Sites in Londrina City, Brazil. Journal of the Brazilian Chemical Society 23(5): 921-930.</t>
  </si>
  <si>
    <t>Gao, J, T Wang, XH Zhou, WS Wu and WX Wang. 2009. Measurement of aerosol number size distributions in the Yangtze River delta in China: Formation and growth of particles under polluted conditions. Atmos. Environ. 43(4): 829-836.</t>
  </si>
  <si>
    <t>Gatari, MJ, J Boman and A Wagner. 2009. Characterization of aerosol particles at an industrial background site in Nairobi, Kenya. X-Ray Spectrometry 38(1): 37-44.</t>
  </si>
  <si>
    <t>Geng, NB, J Wang, YF Xu, WD Zhang, C Chen and RQ Zhang. 2013. PM2.5 in an industrial district of Zhengzhou, China: Chemical composition and source apportionment. Particuology 11(1): 99-109.</t>
  </si>
  <si>
    <t>Godoy, M, JM Godoy, LA Roldao, DS Soluri and RA Donagemma. 2009. Coarse and fine aerosol source apportionment in Rio de Janeiro, Brazil. Atmos. Environ. 43(14): 2366-2374.</t>
  </si>
  <si>
    <t>Gramsch, E, I Ormeno, G Palma, F Cereceda-Balic and P Oyola. 2004. Use of the light absorption coefficient to monitor elemental carbon and PM2.5 - Example of Santiago de Chile. Journal of the Air &amp; Waste Management Association 54(7): 799-808.</t>
  </si>
  <si>
    <t>Gramsch, E, L Gidhagen, P Wahlin, P Oyola and F Moreno. 2009. Predominance of soot-mode ultrafine particles in Santiago de Chile: Possible sources. Atmos. Environ. 43: 2260-2267.</t>
  </si>
  <si>
    <t>Gu, JX, ZP Bai, AX Liu, LP Wu, YY Xie, WF Li, et al. 2010. Characterization of Atmospheric Organic Carbon and Element Carbon of PM2.5 and PM10 at Tianjin, China. Aerosol and air quality research 10(2): 167–176.</t>
  </si>
  <si>
    <t>Gu, JX, ZP Bai, WF Li, LP Wu, AX Liu, HY Dong, et al. 2011. Chemical composition of PM2.5 during winter in Tianjin, China. Particuology 9(3): 215–221.</t>
  </si>
  <si>
    <t>Gummeneni, S, Y Bin Yusup, M Chavali and SZ Samadi. 2011. Source apportionment of particulate matter in the ambient air of Hyderabad city, India. Atmospheric Research 101(3): 752-764.</t>
  </si>
  <si>
    <t>Gupta, AK, S Nag and UK Mukhopadhyay. 2006. Characterisation of PM10, PM2.5 and benzene soluble organic fraction of particulate matter in an urban area of Kolkata, India. Environmental monitoring and assessment 115(1-3): 205-222.</t>
  </si>
  <si>
    <t>Hagler, GS, MH Bergin, LG Salmon, JZ Yu, ECH Wan, M Zheng, et al. 2006. Source areas and chemical composition of fine particulate matter in the Pearl River Delta region of China. Atmos. Environ. 40(20): 3802-3815.</t>
  </si>
  <si>
    <t>Han, YJ, TS Kim and H Kim. 2008. Ionic constituents and source analysis of PM2.5 in three Korean cities. Atmos. Environ. 42(19): 4735-4746.</t>
  </si>
  <si>
    <t>Han, YM, ZW Han, JJ Cao, JC Chow, JG Watson, Z An, S,, et al. 2008. Distribution and origin of carbonaceous aerosol over a rural high-mountain lake area, Northern China and its transport significance. Atmos. Environ. 42: 2405-2414.</t>
  </si>
  <si>
    <t>Han, JS, KJ Moon, BJ Kong, SJ Lee, JE Kim and YJ Kim. 2005. Seasonal variation of chemical composition in fine particles at Gosan, Korea. Environmental Monitoring and Assessment 107(1-3): 221-237.</t>
  </si>
  <si>
    <t>Han, YJ, SR Kim and JH Jung. 2011. Long-term measurements of atmospheric PM2.5 and its chemical composition in rural Korea. Journal of Atmospheric Chemistry 68(4): 281-298.</t>
  </si>
  <si>
    <t>Han, LH, GS Zhuang, S Yele and ZF Wang. 2005. Local and non-local sources of airborne particulate pollution at Beijing. Science in China Series B-Chemistry 48(3): 253–264.</t>
  </si>
  <si>
    <t>Han, B, SF Kong, ZP Bai, G Du, T Bi, X Li, et al. 2010. Characterization of Elemental Species in PM2.5 Samples Collected in Four Cities of Northeast China. Water Air and Soil Pollution 209(1-4): 15-28.</t>
  </si>
  <si>
    <t>He, K, Q Zhao, Y Ma, F Duan, F Yang, Z Shi, et al. 2012. Spatial and seasonal variability of PM2.5 acidity at two Chinese megacities: insights into the formation of secondary inorganic aerosols. Atmos. Chem. Phys. 12(3): 1377–1395.</t>
  </si>
  <si>
    <t>He, KB, FM Yang, YL Ma, Q Zhang, XH Yao, CK Chan, et al. 2001. The characteristics of PM2.5 in Beijing, China. Atmos. Environ. 35(29): 4959-4970.</t>
  </si>
  <si>
    <t>He, Z, YJ Kim, KO Ogunjobi and CS Hong. 2003. Characteristics of PM2.5 species and long-range transport of air masses at Taean background station, South Korea. Atmos. Environ. 37(2): 219-230.</t>
  </si>
  <si>
    <t>He, Z, YJ Kim, KO Ogunjobi, JE Kim and SY Ryu. 2004. Carbonaceous aerosol characteristics of PM2.5 particles in northeastern Asia in summer 2002. Atmos. Environ. 38(12): 1795–1800.</t>
  </si>
  <si>
    <t>Hien, PD, VT Bac, HC Tham, DD Nhan and LD Vinh. 2002. Influence of meteorological conditions on PM2.5 and PM2.5-10 concentrations during the monsoon season in Hanoi, Vietnam. Atmos. Environ. 36(21): 3473-3484.</t>
  </si>
  <si>
    <t>Hien, PD, NT Binh, Y Truong, NT Ngo and LN Sieu. 2001. Comparative receptor modelling study of TSP, PM2 and PM2-10 in Ho Chi Minh City. Atmos. Environ. 35(15): 2669-2678.</t>
  </si>
  <si>
    <t>Hien et al., AE, 2001</t>
  </si>
  <si>
    <t>Hieu, NT and BK Lee. 2010. Characteristics of particulate matter and metals in the ambient air from a residential area in the largest industrial city in Korea. Atmospheric Research 98(2-4): 526-537.</t>
  </si>
  <si>
    <t>Ho, KF, SC Lee, CK Chan, JC Yu, JC Chow and XH Yao. 2003. Characterization of chemical species in PM2.5 and PM10 aerosols in Hong kong. Atmos. Environ. 37(1): 31-39.</t>
  </si>
  <si>
    <t>Ho, KF, JJ Cao, SC Lee and CK Chan. 2006. Source apportionment of PM2.5 in urban area of Hong Kong. Journal of Hazardous Materials 138(1): 73-85.</t>
  </si>
  <si>
    <t>Ho et al., AE, 2011</t>
  </si>
  <si>
    <t>Ho, KF, RJ Zhang, SC Lee, SSH Ho, SX Liu, K Fung, et al. 2011. Characteristics of carbonate carbon in PM2.5 in a typical semi-arid area of Northeastern China. Atmos. Environ. 45(6): 1268-1274.</t>
  </si>
  <si>
    <t>Huang, H, SC Lee, JJ Cao, CW Zou, XG Chen and SJ Fan. 2007. Characteristics of indoor/outdoor PM2.5 and elemental components in generic urban, roadside and industrial plant areas of Guangzhou City, China. Journal of Environmental Sciences-China 19(1): 35-43.</t>
  </si>
  <si>
    <t>Huang et al., JES, 2007</t>
  </si>
  <si>
    <t>Hong, SM, L Jiao and WL Ma. 2013. Variation of PM2.5 concentration in Hangzhou, China. Particuology 11(1): 55-62.</t>
  </si>
  <si>
    <t>Hopke, PK, DD Cohen, BA Begum, SK Biswas, BF Ni, GG Pandit, et al. 2008. Urban air quality in the Asian region. Science of the Total Environment 404(1): 103–112.</t>
  </si>
  <si>
    <t>Hou, B, GS Zhuang, R Zhang, TN Liu, ZG Guo and Y Chen. 2011. The implication of carbonaceous aerosol to the formation of haze: Revealed from the characteristics and sources of OC/EC over a mega-city in China. Journal of Hazardous Materials 190(1-3): 529-536.</t>
  </si>
  <si>
    <t>Hou et al., JHM, 2011</t>
  </si>
  <si>
    <t>Hsu, SC, SC Liu, CY Lin, RT Hsu, YT Huang and YW Chen. 2004. Metal compositions of PM10 and PM2.5 aerosols in Taipei during spring, 2002. Terrestrial Atmospheric and Oceanic Sciences 15(5): 925-948.</t>
  </si>
  <si>
    <t>Hu, M, LY He, YH Zhang, M Wang, YP Kim and KC Moon. 2002. Seasonal variation of ionic species in fine particles at Qingdao, China. Atmos. Environ. 36(38): 5853-5859.</t>
  </si>
  <si>
    <t>Ho, KF, SC Lee, JJ Cao, JC Chow, JG Watson and CK Chan. 2006. Seasonal variations and mass closure analysis of particulate matter in Hong Kong. Science of the Total Environment 355(1-3): 276-287.</t>
  </si>
  <si>
    <t>Ho et al., STE, 2006</t>
  </si>
  <si>
    <t>Hyvarinen, AP, H Lihavainen, M Komppula, TS Panwar, VP Sharma, RK Hooda, et al. 2010. Aerosol measurements at the Gual Pahari EUCAARI station: preliminary results from in-situ measurements. Atmos. Chem. Phys. 10(15): 7241–7252.</t>
  </si>
  <si>
    <t>Hyvarinen, AP, T Raatikainen, D Brus, M Komppula, TS Panwar, RK Hooda, et al. 2011. Effect of the summer monsoon on aerosols at two measurement stations in Northern India - Part 1: PM and BC concentrations. Atmos. Chem. Phys. 11(16): 8271–8282.</t>
  </si>
  <si>
    <t>Jeong, U, J Kim, H Lee, J Jung, YJ Kim, CH Song, et al. 2011. Estimation of the contributions of long range transported aerosol in East Asia to carbonaceous aerosol and PM concentrations in Seoul, Korea using highly time resolved measurements: a PSCF model approach. Journal of environmental monitoring 13(7): 1905-1918.</t>
  </si>
  <si>
    <t>Jorquera, H. 2009. Source apportionment of PM10 and PM2.5 at Tocopilla, Chile (22A degrees 05' S, 70A degrees 12' W). Environmental Monitoring and Assessment 153(1-4): 235-251.</t>
  </si>
  <si>
    <t>Jorquera, H and F Barraza. 2012. Source apportionment of ambient PM2.5 in Santiago, Chile: 1999 and 2004 results. Science of the Total Environment 435: 418-429.</t>
  </si>
  <si>
    <t>Jorquera, H and F Barraza. 2013. Source apportionment of PM10 and PM2.5 in a desert region in northern Chile. Science of the Total Environment 444: 327-335.</t>
  </si>
  <si>
    <t>Joseph, AE, S Unnikrishnan and R Kumar. 2012. Chemical Characterization and Mass Closure of Fine Aerosol for Different Land Use Patterns in Mumbai City. Aerosol and air quality research 12(1): 61-72.</t>
  </si>
  <si>
    <t>Jugder, D, M Shinoda, N Sugimoto, I Matsui, M Nishikawa, SU Park, et al. 2011. Spatial and temporal variations of dust concentrations in the Gobi Desert of Mongolia. Global and Planetary Change 78(1-2): 14-22.</t>
  </si>
  <si>
    <t>Kang, CM, Y Sunwoo, HS Lee, BW Kang and SK Lee. 2004. Atmospheric concentrations of PM2.5 trace elements in the Seoul urban area of South Korea. Journal of the Air &amp; Waste Management Association 54(4): 432-439.</t>
  </si>
  <si>
    <t>Karaca, F, O Alagha and F Erturk. 2005. Statistical characterization of atmospheric PM10 and PM2.5 concentrations at a non-impacted suburban site of Istanbul, Turkey. Chemosphere 59(8): 1183-1190.</t>
  </si>
  <si>
    <t>Kaushar, A, D Chate, G Beig, R Srinivas, N Parkhi, T Satpute, et al. 2013. Spatio-Temporal Variation and Deposition of Fine and Coarse Particles during the Commonwealth Games in Delhi. Aerosol and air quality research 13(2): 748–755.</t>
  </si>
  <si>
    <t>Kavouras, IG, P Koutrakis, F Cereceda-Balic and P Oyola. 2001. Source apportionment of PM10 and PM2.5 in five Chilean cities using factor analysis. Journal of the Air &amp; Waste Management Association 51(3): 451-464.</t>
  </si>
  <si>
    <t>Keywood, MD, GP Ayers, JL Gras, R Boers and CP Leong. 2003. Haze in the Klang Valley of Malaysia. Atmos. Chem. Phys. 3: 591-605.</t>
  </si>
  <si>
    <t>Khan, MF, Y Shirasuna, K Hirano and S Masunaga. 2010. Characterization of PM2.5, PM2.5-10 and PM &gt; 10 in ambient air, Yokohama, Japan. Atmospheric Research 96(1): 159-172.</t>
  </si>
  <si>
    <t>Hossain, KMA and SM Easa. 2012. Pollutant dispersion characteristics in Dhaka city, Bangladesh. Asia-Pacific Journal of Atmospheric Sciences 48(1): 35-41.</t>
  </si>
  <si>
    <t>Houssain et al., APJAS, 2012</t>
  </si>
  <si>
    <t>Khare, P, BP Baruah and PG Rao. 2011. Water-soluble organic compounds (WSOCs) in PM2.5 and PM10 at a subtropical site of India. Tellus Series B-Chemical and Physical Meteorology 63(5): 990-1000.</t>
  </si>
  <si>
    <t>Khodeir, M, M Shamy, M Alghamdi, MH Zhong, H Sun, M Costa, et al. 2012. Source apportionment and elemental composition of PM2.5 and PM10 in Jeddah City, Saudi Arabia. Atmospheric Pollution Research 3(3): 331-340.</t>
  </si>
  <si>
    <t>Kim, YJ, KW Kim, SD Kim, BK Lee and JS Han. 2006. Fine particulate matter characteristics and its impact on visibility impairment at two urban sites in Korea: Seoul and Incheon. Atmos. Environ. 40: S593-S605.</t>
  </si>
  <si>
    <t>Kim, HS, H Jong-Bae, KH Philip, TM Holsen and SM Yi. 2007. Characteristics of the major chemical constituents Of PM2.5 and smog events in Seoul, Korea in 2003 and 2004. Atmos. Environ. 41(32): 6762-6770.</t>
  </si>
  <si>
    <t>Kim, YJ, JH Woo, YI Ma, S Kim, JS Nam, H Sung, et al. 2009. Chemical characteristics of long-range transport aerosol at background sites in Korea. Atmos. Environ. 43(34): 5556-5566.</t>
  </si>
  <si>
    <t>Kim, NK, YP Kim and CH Kang. 2011. Long-term trend of aerosol composition and direct radiative forcing due to aerosols over Gosan: TSP, PM10, and PM2.5 data between 1992 and 2008. Atmos. Environ. 45(34): 6107-6115.</t>
  </si>
  <si>
    <t>Kim, HS and YS Chung. 2010. Characteristics of Mass Concentrations Depending on Synoptic Features during Airborne Dustfall Episodes Observed at Cheongwon in Korea in 2005. Asia-Pacific Journal of Atmospheric Sciences 46(2): 209-216.</t>
  </si>
  <si>
    <t>Kim, JY, YS Ghim, CH Song, SC Yoon and JS Han. 2007. Seasonal characteristics of air masses arriving at Gosan, Korea, using fine particle measurements between November 2001 and August 2003. J. Geophys. Res. 112(D7).</t>
  </si>
  <si>
    <t>Kinney, PL, M Gatari Gichuru, N Volavka-Close, N Ngo, PK Ndiba, A Law, et al. 2011. Traffic impacts on PM2.5 air quality in Nairobi. Environmental Science &amp; Policy 14: 369-378.</t>
  </si>
  <si>
    <t>Kocak, M, N Mihalopoulos and N Kubilay. 2007. Contributions of natural sources to high PM10 and PM2.5 events in the eastern Mediterranean. Atmos. Environ. 41(18): 3806-3818.</t>
  </si>
  <si>
    <t>Kothai, P, IV Saradhi, P Prathibha, PK Hopke, GG Pandit and VD Puranik. 2008. Source Apportionment of Coarse and Fine Particulate Matter at Navi Mumbai, India. Aerosol and air quality research 8(4): 423-436.</t>
  </si>
  <si>
    <t>Kothai, P, IV Saradhi, GG Pandit, A Markwitz and VD Puranik. 2011. Chemical Characterization and Source Identification of Particulate Matter at an Urban Site of Navi Mumbai, India. Aerosol and air quality research 11(5): 560-569.</t>
  </si>
  <si>
    <t>Kouyoumdjian, H and NA Saliba. 2006. Mass concentration and ion composition of coarse and fine particles in an urban area in Beirut: effect of calcium carbonate on the absorption of nitric and sulfuric acids and the depletion of chloride. Atmos. Chem. Phys. 6: 1865-1877.</t>
  </si>
  <si>
    <t>Kulshrestha, A, DS Bisht, J Masih, D Massey, S Tiwari and A Taneja. 2009. Chemical characterization of water-soluble aerosols in different residential environments of semi aridregion of India. Journal of Atmospheric Chemistry 62(2): 121-138.</t>
  </si>
  <si>
    <t>Kulshrestha, A, PG Satsangi, J Masih and A Taneja. 2009. Metal concentration of PM2.5 and PM10 particles and seasonal variations in urban and rural environment of Agra, India. Science of the Total Environment 407(24): 6196-6204.</t>
  </si>
  <si>
    <t>Kumagai, K, A Iijima, H Tago, A Tomioka, K Kozawa and K Sakamoto. 2009. Seasonal characteristics of water-soluble organic carbon in atmospheric particles in the inland Kanto plain, Japan. Atmos. Environ. 43(21): 3345-3351.</t>
  </si>
  <si>
    <t>Kumar, N, A Chu and A Foster. 2007. An empirical relationship between PM2.5 and aerosol optical depth in Delhi Metropolitan. Atmos. Environ. 41(21): 4492–4503.</t>
  </si>
  <si>
    <t>Kumar, R, A Elizabeth and AG Gawane. 2006. Air quality profile of inorganic ionic composition of fine aerosols at two sites in Mumbai City. Aerosol science and technology 40(7): 490-502.</t>
  </si>
  <si>
    <t>Kumar, R and AE Joseph. 2006. Air pollution concentrations of PM2.5, PM10 and NO2 at ambient and kerbsite and their correlation in Metro City - Mumbai. Environmental monitoring and assessment 119(1-3): 191-199.</t>
  </si>
  <si>
    <t>Kuo, CY, FC Cheng, SY Chang, CY Lin, CCK Chou, CH Chou, et al. 2013. Analysis of the major factors affecting the visibility degradation in two stations. Journal of the Air &amp; Waste Management Association 63(4): 433-441.</t>
  </si>
  <si>
    <t>Kuvarega, AT and P Taru. 2008. Ambiental dust speciation and metal content variation in TSP, PM10 and PM2.5 in urban atmospheric air of Harare (Zimbabwe). Environmental Monitoring and Assessment 144(1-3): 1-14.</t>
  </si>
  <si>
    <t>Laakso, L, H Laakso, PP Aalto, P Keronen, T Petaja, T Nieminen, et al. 2008. Basic characteristics of atmospheric particles, trace gases and meteorology in a relatively clean Southern African Savannah environment. Atmos. Chem. Phys. 8(16): 4823-4839.</t>
  </si>
  <si>
    <t>Lai, SC, SC Zou, JJ Cao, SC Lee and KF Ho. 2007. Characterizing ionic species in PM2.5 and PM10 in four Pearl River Delta cities, South China. Journal of Environmental Sciences-China 19(8): 939-947.</t>
  </si>
  <si>
    <t>Latha, KM and KVS Badarinath. 2005. Seasonal variations of PM10 and PM2.5 particles loading over tropical urban environment. Int. J. Environ. Health Res. 15(1): 63-68.</t>
  </si>
  <si>
    <t>Lee, HS and BW Kang. 2001. Chemical characteristics of principal PM2.5 species in Chongju, South Korea. Atmos. Environ. 35(4): 739-746.</t>
  </si>
  <si>
    <t>Lee, JH, YP Kim, KC Moon, HK Kim and CB Lee. 2001. Fine particle measurements at two background sites in Korea between 1996 and 1997. Atmos. Environ. 35(4): 635-643.</t>
  </si>
  <si>
    <t>Lee, SB, GN Bae, KC Moon and YP Kim. 2002. Characteristics of TSP and PM2.5 measured at Tokchok Island in the Yellow Sea. Atmos. Environ. 36(35): 5427-5435.</t>
  </si>
  <si>
    <t>Lee, CT, MT Chuang, NH Lin, JL Wang, GR Sheu, SC Chang, et al. 2011. The enhancement of PM2.5 mass and water-soluble ions of biosmoke transported from Southeast Asia over the Mountain Lulin site in Taiwan. Atmos. Environ. 45(32): 5784-5794.</t>
  </si>
  <si>
    <t>Lee, HL, SS Park, KW Kim and YJ Kim. 2008. Source identification of PM2.5 particles measured in Gwangju, Korea. Atmospheric Research 88(3-4): 199-211.</t>
  </si>
  <si>
    <t>Lee, BK and NT Hieu. 2013. Seasonal ion characteristics of fine and coarse particles from an urban residential area in a typical industrial city. Atmospheric Research 122: 362-377.</t>
  </si>
  <si>
    <t>Lestiani, DD, M Santoso, WJ Trompetter, B Barry, PK Davy and A Markwitz. 2013. Determination of chemical elements in airborne particulate matter collected at Lembang, Indonesia by particle induced X-ray emission. Journal of Radioanalytical and Nuclear Chemistry 297(2): 177-182.</t>
  </si>
  <si>
    <t>Lestiani et al., JRNC, 2013</t>
  </si>
  <si>
    <t>Lestari, P and YD Mauliadi. 2009. Source apportionment of particulate matter at urban mixed site in Indonesia using PMF. Atmos. Environ. 43(10): 1760-1770-1760-1770.</t>
  </si>
  <si>
    <t>Lestari, P and YD Mauliadi. 2009. Source apportionment of particulate matter at urban mixed site in Indonesia using PMF. Atmos. Environ. 43(10): 1760-1770.</t>
  </si>
  <si>
    <t>Li, WF, ZP Bai, AX Liu, J Chen and L Chen. 2009. Characteristics of Major PM2.5 Components during Winter in Tianjin, China. Aerosol and air quality research 9(1): 105–119.</t>
  </si>
  <si>
    <t>Li, PH, B Han, J Huo, B Lu, X Ding, L Chen, et al. 2012. Characterization, Meteorological Influences and Source Identification of Carbonaceous Aerosols during the Autumn-winter Period in Tianjin, China. Aerosol and air quality research 12(2): 283–294.</t>
  </si>
  <si>
    <t>Li, J, GS Zhuang, K Huang, YF Lin, QZ Wang, YH Guo, et al. 2008. The chemistry of heavy haze over Urumqi, Central Asia. Journal of Atmospheric Chemistry 61(1): 57-72.</t>
  </si>
  <si>
    <t>Li, WF and ZP Bai. 2009. Characteristics of organic and elemental carbon in atmospheric fine particles in Tianjin, China. Particuology 7(6): 432–437.</t>
  </si>
  <si>
    <t>Lim, S, M Lee, G Lee, S Kim, S Yoon and K Kang. 2012. Ionic and carbonaceous compositions of PM10, PM2.5 and PM1.0 at Gosan ABC Superstation and their ratios as source signature. Atmos. Chem. Phys. 12(4): 2007-2024.</t>
  </si>
  <si>
    <t>Lin, CH, YL Wu, CH Lai, JG Watson and JC Chow. 2008. Air quality measurements from the Southern Particulate Matter Supersite in Taiwan. Aerosol and air quality research 8(3): 233-264.</t>
  </si>
  <si>
    <t>Lin, JJ and HS Tai. 2001. Concentrations and distributions of carbonaceous species in ambient particles in Kaohsiung City, Taiwan. Atmos. Environ. 35(15): 2627-2636.</t>
  </si>
  <si>
    <t>Lin, YC, MT Cheng, CP Chio and CY Kuo. 2009. Carbonaceous Aerosol Measurements at Coastal, Urban, and Inland Sites in Central Taiwan. Environmental Forensics 10(1): 7-17.</t>
  </si>
  <si>
    <t>Liu, S, M Hu, S Slanina, LY He, YW Niu, E Bruegemann, et al. 2008. Size distribution and source analysis of ionic compositions of aerosols in polluted periods at Xinken in Pearl River Delta (PRD) of China. Atmos. Environ. 42(25): 6284-6295.</t>
  </si>
  <si>
    <t>Lodhi, A, B Ghauri, MR Khan, S Rahman and S Shafique. 2009. Particulate Matter (PM2.5) Concentration and Source Apportionment in Lahore. Journal of the Brazilian Chemical Society 20(10): 1811-1820.</t>
  </si>
  <si>
    <t>Lopez, ML, S Ceppi, GG Palancar, LE Olcese, G Tirao and BM Toselli. 2011. Elemental concentration and source identification of PM10 and PM2.5 by SR-XRF in Cordoba City, Argentina. Atmos. Environ. 45(31): 5450-5457.</t>
  </si>
  <si>
    <t>Lopez-Veneroni, D. 2009. The stable carbon isotope composition of PM2.5 and PM10 in Mexico City Metropolitan Area air. Atmos. Environ. 43(29): 4491-4502.</t>
  </si>
  <si>
    <t>Louie, PKK, JC Chow, LWA Chen, JG Watson, G Leung and DWM Sin. 2005. PM2.5 chemical composition in Hong Kong: Urban and regional variations. Science of the Total Environment 338(3): 267-281; Louie, PKK, JG Watson, JC Chow, A Chen, DWM Sin and AKH Lau. 2005. Seasonal characteristics and regional transport of PM2.5 in Hong Kong. Atmos. Environ. 39(9): 1695-1710.</t>
  </si>
  <si>
    <t>Loyola, J, G Arbilla, SL Quiterio, V Escaleira and AS Minho. 2012. Trace Metals in the Urban Aerosols of Rio de Janeiro City. Journal of the Brazilian Chemical Society 23(4): 628-638.</t>
  </si>
  <si>
    <t>Maenhaut, W, DJA De Ridder, MT Fernandez-Jimenez, MA Hooper, B Hooper and M Nurhayati. 2002. Long-term observations of regional aerosol composition at two sites in Indonesia. Nuclear Instruments &amp; Methods in Physics Research Section B-Beam Interactions with Materials and Atoms 189: 259-265.</t>
  </si>
  <si>
    <t>Magnusson, R, L Hagglund and H Wingfors. 2012. Broad Exposure Screening of Air Pollutants in the Occupational Environment of Swedish Soldiers Deployed in Afghanistan. Military Medicine 177(3): 318-325.</t>
  </si>
  <si>
    <t>Mansha, M, B Ghauri, S Rahman and A Amman. 2012. Characterization and source apportionment of ambient air particulate matter (PM2.5) in Karachi. Science of the Total Environment 425: 176-183.</t>
  </si>
  <si>
    <t>Mariani, RL and WZ de Mello. 2007. PM2.5-10, PM2.5 and associated water-soluble inorganic species at a coastal urban site in the metropolitan region of Rio de Janeiro. Atmos. Environ. 41(13): 2887-2892.</t>
  </si>
  <si>
    <t>Martinez, MA, P Caballero, O Carrillo, A Mendoza and GM Mejia. 2012. Chemical characterization and factor analysis of PM2.5 in two sites of Monterrey, Mexico. Journal of the Air &amp; Waste Management Association 62(7): 817-827.</t>
  </si>
  <si>
    <t>Massey, D, A Kulshrestha, J Masih and A Taneja. 2012. Seasonal trends of PM10, PM5.0, PM2.5 &amp; PM1.0 in indoor and outdoor environments of residential homes located in North-Central India. Building and Environment 47: 223-231.</t>
  </si>
  <si>
    <t>Massey, DD, A Kulshrestha and A Taneja. 2009. A Study on Indoor/Outdoor Concentration of Particulate Matter in Rural Residential Houses in India: Proceedings of the Second International Conference on Environmental and Computer Science.</t>
  </si>
  <si>
    <t>Mateus, VL, ILG Monteiro, RCC Rocha, TD Saint'Pierre and A Gioda. 2013. Study of the chemical composition of particulate matter from the Rio de Janeiro metropolitan region, Brazil, by inductively coupled plasma-mass spectrometry and optical emission spectrometry. Spectrochimica Acta Part B-Atomic Spectroscopy 86: 131-136.</t>
  </si>
  <si>
    <t>Meng, ZY, XM Jiang, P Yan, WL Lin, HD Zhang and Y Wang. 2007. Characteristics and sources of PM2.5 and carbonaceous species during winter in Taiyuan, China. Atmos. Environ. 41(32): 6901-6908.</t>
  </si>
  <si>
    <t>Miller-Schulze, JP, MM Shafer, JJ Schauer, PA Solomon, J Lantz, M Artamonova, et al. 2011. Characteristics of fine particle carbonaceous aerosol at two remote sites in Central Asia. Atmos. Environ. 45(38): 6955-6964.</t>
  </si>
  <si>
    <t>Minoura, H, K Takahashi, JC Chow and JG Watson. 2006. Multi-year trend in fine and coarse particle mass, carbon, and ions in downtown Tokyo, Japan. Atmos. Environ. 40(14): 2478-2487.</t>
  </si>
  <si>
    <t>Miranda, R and E Tornaz. 2008. Characterization of urban aerosol in Campinas, Sao Paulo, Brazil. Atmospheric Research 87(2): 147-157.</t>
  </si>
  <si>
    <t>Mkoma, SL, XG Chi and W Maenhaut. 2010. Characterization of carbonaceous materials in PM2.5 and PM10 size fractions in Morogoro, Tanzania, during 2006 wet season campaign. Nuclear Instruments &amp; Methods in Physics Research Section B-Beam Interactions with Materials and Atoms 268(10): 1665-1670.</t>
  </si>
  <si>
    <t>Mkoma, SL, XG Chi and W Maenhaut. 2010. Characteristics of carbonaceous aerosols in ambient PM10 and PM2.5 particles in Dar es Salaam, Tanzania. Science of the Total Environment 408(6): 1308-1314.</t>
  </si>
  <si>
    <t>Mukherjee, I, N Chakraborty, A DebSarkar and TK Mondal. 2010. Observation on Particulate Matter over a Period of 3 Years at Kaikhali (22.022 degrees N and 88.614 degrees E) inside a Special Mangrove Ecosystem: Sundarbans. Journal of Environmental Engineering-Asce 136(1): 119-126.</t>
  </si>
  <si>
    <t>Amador-Munoz, O, R Villalobos-Pietrini, J Miranda and LE Vera-Avila. 2011. Organic compounds of PM2.5 in Mexico Valley: Spatial and temporal patterns, behavior and sources. Science of the Total Environment 409(8): 1453-1465.</t>
  </si>
  <si>
    <t>Amador-Munoz et al., STE, 2011</t>
  </si>
  <si>
    <t>Murillo, JH, JFR Marin, SR Roman, VHB Guerrero, DS Arias, AC Ramos, et al. 2013. Temporal and spatial variations in organic and elemental carbon concentrations in PM10/PM2.5 in the metropolitan area of Costa Rica, Central America. Atmospheric Pollution Research 4(1): 53-63.</t>
  </si>
  <si>
    <t>Murillo, JH, AC Ramos, FA Garcia, SB Jimenez, B Cardenas and A Mizohata. 2012. Chemical composition of PM2.5 particles in Salamanca, Guanajuato Mexico: Source apportionment with receptor models. Atmospheric Research 107: 31-41.</t>
  </si>
  <si>
    <t>Nasiruddin, M and G Bathan. 2008. Clean air in Bangladesh: Summary of progress on improving air quality.</t>
  </si>
  <si>
    <t>Niu, ZC, FW Zhang, JS Chen, LQ Yin, S Wang and LL Xu. 2013. Carbonaceous species in PM2.5 in the coastal urban agglomeration in the Western Taiwan Strait Region, China. Atmospheric Research 122: 102-110.</t>
  </si>
  <si>
    <t>Niu, ZC, S Wang, JS Chen, FW Zhang, XQ Chen, C He, et al. 2013. Source contributions to carbonaceous species in PM2.5 and their uncertainty analysis at typical urban, pen-urban and background sites in southeast China. Environ. Pollut. 181: 107-114.</t>
  </si>
  <si>
    <t>Niu, ZC, JS Chen, LL Xu, LQ Yin and FW Zhang. 2013. Application of the Environmental Internet of Things on monitoring PM2.5 at a coastal site in the urbanizing region of southeast China. International Journal of Sustainable Development and World Ecology 20(3): 231-237.</t>
  </si>
  <si>
    <t>Niu, ZC, FW Zhang, XR Kong, JS Chen, LQ Yin and LL Xu. 2012. One-year measurement of organic and elemental carbon in size-segregated atmospheric aerosol at a coastal and suburban site in Southeast China. Journal of environmental monitoring 14(11): 2961-2967.</t>
  </si>
  <si>
    <t>Ny, MT and BK Lee. 2011. Size Distribution of Airborne Particulate Matter and Associated Metallic Elements in an Urban Area of an Industrial City in Korea. Aerosol and air quality research 11(6): 643-653.</t>
  </si>
  <si>
    <t>Oanh, NTK, N Upadhyaya, YH Zhuang, ZP Hao, DVS Murthy, P Lestari, et al. 2006. Particulate air pollution in six Asian cities: Spatial and temporal distributions, and associated sources. Atmos. Environ. 40(18): 3367–3380.</t>
  </si>
  <si>
    <t>Ofosu, FG, PK Hopke, IJK Aboh and SA Bamford. 2012. Characterization of fine particulate sources at Ashaiman in Greater Accra, Ghana. Atmospheric Pollution Research 3(3): 301-310.</t>
  </si>
  <si>
    <t>Ofosu, FG, PK Hopke, IJK Aboh and SA Bamford. 2013. Biomass burning contribution to ambient air particulate levels at Navrongo in the Savannah zone of Ghana. Journal of the Air &amp; Waste Management Association 63(9): 1036-1045.</t>
  </si>
  <si>
    <t>Oh, MS, TJ Lee and DS Kim. 2011. Quantitative Source Apportionment of Size-segregated Particulate Matter at Urbanized Local Site in Korea. Aerosol and air quality research 11(3): 247-264.</t>
  </si>
  <si>
    <t>Onat, B, UA Sahin and T Akyuz. 2013. Elemental characterization of PM2.5 and PM1 in dense traffic area in Istanbul, Turkey. Atmospheric Pollution Research 4(1): 101-105.</t>
  </si>
  <si>
    <t>Owoade, OK, OG Fawole, FS Olise, LT Ogundele, HB Olaniyi, MS Almeida, et al. 2013. Characterization and source identification of airborne particulate loadings at receptor site-classes of Lagos Mega-City, Nigeria. Journal of the Air &amp; Waste Management Association 63(9): 1026-1035.</t>
  </si>
  <si>
    <t>Ozdemir, H, G Borucu, G Demir, S Yigit and N Ak. 2010. Examining the Particulate Matter (PM2.5 ve PM10) Pollution on the Playgrounds in Istanbul. Ekoloji 19(77): 72-79.</t>
  </si>
  <si>
    <t>Pachauri, T, V Singla, A Satsangi, A Lakhani and KM Kumari. 2013. Characterization of carbonaceous aerosols with special reference to episodic events at Agra, India. Atmospheric Research 128: 98-110.</t>
  </si>
  <si>
    <t>Panwar, TS, RK Hooda, H Lihavainen, AP Hyvarinen, VP Sharma and Y Viisanen. 2013. Atmospheric aerosols at a regional background Himalayan site-Mukteshwar, India. Environmental Monitoring and Assessment 185(6): 4753-4764.</t>
  </si>
  <si>
    <t>Park, SS, YJ Kim and K Fung. 2001. Characteristics of PM2.5 carbonaceous aerosol in the Sihwa industrial area, South Korea. Atmos. Environ. 35(4): 657-665.</t>
  </si>
  <si>
    <t>Park, SS and YJ Kim. 2004. PM(2.)5 particles and size-segregated ionic species measured during fall season in three urban sites in Korea. Atmos. Environ. 38(10): 1459-1471.</t>
  </si>
  <si>
    <t>Park, SS, MS Bae, JJ Schauer, SY Ryu, YJ Kim, SY Cho, et al. 2005. Evaluation of the TMO and TOT methods for OC and EC measurements and their characteristics in PM2.5 at an urban site of Korea during ACE-Asia. Atmos. Environ. 39(28): 5101-5112.</t>
  </si>
  <si>
    <t>Park, SS and SY Cho. 2011. Tracking sources and behaviors of water-soluble organic carbon in fine particulate matter measured at an urban site in Korea. Atmos. Environ. 45(1): 60-72.</t>
  </si>
  <si>
    <t>Park, E-j, D-s Kim and K Park. 2008. Monitoring of ambient particles and heavy metals in a residential area of Seoul, Korea. Environmental monitoring and assessment 137(1-3): 441-449.</t>
  </si>
  <si>
    <t>Park, SH, AS Panicker, DI Lee, WS Jung, SM Jang, M Jang, et al. 2010. Characterization of chemical properties of atmospheric aerosols over Anmyeon (South Korea), a super site under Global Atmosphere Watch. Journal of Atmospheric Chemistry 67(2-3): 71-86.</t>
  </si>
  <si>
    <t>Park, SS, YJ Kim, SY Cho and SJ Kim. 2007. Characterization of PM2.5 aerosols dominated by local pollution and Asian dust observed at an urban site in Korea during Aerosol Characterization Experiments (ACE)-Asia Project. Journal of the Air &amp; Waste Management Association 57(4): 434-443.</t>
  </si>
  <si>
    <t>Pathak, RK, T Wang, KF Ho and SC Lee. 2011. Characteristics of summertime PM2.5 organic and elemental carbon in four major Chinese cities: Implications of high acidity for water-soluble organic carbon (WSOC). Atmos. Environ. 45(2): 318–325.</t>
  </si>
  <si>
    <t>Peled, R, M Friger, A Bolotin, H Bibi, L Epstein, D Pilpel, et al. 2005. Fine particles and meteorological conditions are associated with lung function in children with asthma living near two power plants. Public Health 119(5): 418-425.</t>
  </si>
  <si>
    <t>Pipal, AS, A Kulshrestha and A Taneja. 2011. Characterization and morphological analysis of airborne PM2.5 and PM10 in Agra located in north central India. Atmos. Environ. 45(21): 3621-3630.</t>
  </si>
  <si>
    <t>Zhao, PS, F Dong, YD Yang, D He, XJ Zhao, WZ Zhang, et al. 2013. Characteristics of carbonaceous aerosol in the region of Beijing, Tianjin, and Hebei, China. Atmos. Environ. 71: 389–398.</t>
  </si>
  <si>
    <t>Rahman, SA, MS Hamzah, AK Wood, MS Elias, NAA Salim and E Sanuri. 2011. Sources apportionment of fine and coarse aerosol in Klang Valley, Kuala Lumpur using positive matrix factorization. Atmospheric Pollution Research 2(2): 197-206.</t>
  </si>
  <si>
    <t>Rajput, P, M Sarin and SS Kundu. 2013. Atmospheric particulate matter (PM2.5), EC, OC, WSOC and PAHs from NE-Himalaya: abundances and chemical characteristics. Atmospheric Pollution Research 4(2): 214-221.</t>
  </si>
  <si>
    <t>Rajsic, S, Z Mijic, M Tasic, M Radenkovic and J Joksic. 2008. Evaluation of the levels and sources of trace elements in urban particulate matter. Environmental Chemistry Letters 6(2): 95-100.</t>
  </si>
  <si>
    <t>Ram, K, MM Sarin and SN Tripathi. 2012. Temporal Trends in Atmospheric PM2.5, PM10, Elemental Carbon, Organic Carbon, Water-Soluble Organic Carbon, and Optical Properties: Impact of Biomass Burning Emissions in The Indo-Gangetic Plain. Environ. Sci. Technol. 46(2): 686-695.</t>
  </si>
  <si>
    <t>Rao, BP, A Srivastava, F Yasmin, S Ray, N Gupta, C Chauhan, et al. 2012. Particle Size Distribution of Ambient Aerosols in an Industrial Area. Bulletin of Environmental Contamination and Toxicology 88(5): 717-721.</t>
  </si>
  <si>
    <t>Rashki, A, CJD Rautenbach, PG Eriksson, DG Kaskaoutis and P Gupta. 2013. Temporal changes of particulate concentration in the ambient air over the city of Zahedan, Iran. Air Qual. Atmos. Health 6(1): 123-135.</t>
  </si>
  <si>
    <t>Reddy, BSK, KR Kumar, G Balakrishnaiah, KR Gopal, RR Reddy, LSS Reddy, et al. 2012. Potential Source Regions Contributing to Seasonal Variations of Black Carbon Aerosols over Anantapur in Southeast India. Aerosol and air quality research 12(3): 344-358.</t>
  </si>
  <si>
    <t>Reisen, F, CP Meyer, L McCaw, JC Powell, K Tolhurst, MD Keywood, et al. 2011. Impact of smoke from biomass burning on air quality in rural communities in southern Australia. Atmos. Environ. 45(24): 3944-3953.</t>
  </si>
  <si>
    <t>Reisen, F, CP Meyer and MD Keywood. 2013. Impact of biomass burning sources on seasonal aerosol air quality. Atmos. Environ. 67: 437-447.</t>
  </si>
  <si>
    <t>Rengarajan, R, AK Sudheer and MM Sarin. 2011. Wintertime PM2.5 and PM10 carbonaceous and inorganic constituents from urban site in western India. Atmospheric Research 102(4): 420-431.</t>
  </si>
  <si>
    <t>Rushdi, AI, KF Al-Mutlaq, M Al-Otaibi, AH El-Mubarak and BRT Simoneit. 2013. Air quality and elemental enrichment factors of aerosol particulate matter in Riyadh City, Saudi Arabia. Arabian Journal of Geosciences 6(2): 585-599.</t>
  </si>
  <si>
    <t>Ryu, SY, BG Kwon, YJ Kim, HH Kim and KJ Chun. 2007. Characteristics of biomass burning aerosol and its impact on regional air quality in the summer of 2003 at Gwangju, Korea. Atmospheric Research 84(4): 362-373.</t>
  </si>
  <si>
    <t>Sahin, UA, K Scherbakova and B Onat. 2012. Size distribution and seasonal variation of airborne particulate matter in five areas in Istanbul, Turkey. Environmental Science and Pollution Research 19(4): 1198-1209.</t>
  </si>
  <si>
    <t>Salam, A, T Hossain, MNA Siddique and AMS Alam. 2008. Characteristics of atmospheric trace gases, particulate matter, and heavy metal pollution in Dhaka, Bangladesh. Air Qual. Atmos. Health 1(2): 101-109.</t>
  </si>
  <si>
    <t>Saldarriaga-Norena, H, L Hernandez-Mena, M Ramirez-Muniz, P Carbajal-Romero, R Cosio-Ramirez and B Esquivel-Hernandez. 2009. Characterization of trace metals of risk to human health in airborne particulate matter (PM2.5) at two sites in Guadalajara, Mexico. Journal of environmental monitoring 11(4): 887-894.</t>
  </si>
  <si>
    <t>Saliba, NA, H Kouyoumdjian and M Roumié. 2007. Effect of local and long-range transport emissions on the elemental composition of PM10-2.5 and PM2.5 in Beirut. Atmos. Environ. 41(31): 6497-6509.</t>
  </si>
  <si>
    <t>Saliba, NA, F El Jam, G El Tayar, W Obeid and M Roumie. 2010. Origin and variability of particulate matter (PM10 and PM2.5) mass concentrations over an Eastern Mediterranean city. Atmospheric Research 97(1-2): 106-114.</t>
  </si>
  <si>
    <t>Salma, I, XG Chi and W Maenhaut. 2004. Elemental and organic carbon in urban canyon and background environments in Budapest, Hungary. Atmos. Environ. 38(1): 27-36.</t>
  </si>
  <si>
    <t>Sang, XF, ZS Zhang, CY Chan and G Engling. 2013. Source categories and contribution of biomass smoke to organic aerosol over the southeastern Tibetan Plateau. Atmos. Environ. 78: 113-123.</t>
  </si>
  <si>
    <t>Sang, XF, CY Chan, G Engling, LY Chan, XM Wang, YN Zhang, et al. 2011. Levoglucosan enhancement in ambient aerosol during springtime transport events of biomass burning smoke to Southeast China. Tellus Series B-Chemical and Physical Meteorology 63(1): 129-139.</t>
  </si>
  <si>
    <t>Santoso, M, DD Lestiani, R Mukhtar, E Hamonangan, H Syafrul, A Markwitz, et al. 2011. Preliminary study of the sources of ambient air pollution in Serpong, Indonesia. Atmospheric Pollution Research 2(2): 190-196.</t>
  </si>
  <si>
    <t>Santoso, M, PK Hopke, A Hidayat and DL Diah. 2008. Sources identification of the atmospheric aerosol at urban and suburban sites in Indonesia by positive matrix factorization. Science of the Total Environment 397(1-3): 229-237.</t>
  </si>
  <si>
    <t>Sarnat, JA, T Moise, J Shpund, Y Liu, JE Pachon, R Qasrawi, et al. 2010. Assessing the spatial and temporal variability of fine particulate matter components in Israeli, Jordanian, and Palestinian cities. Atmos. Environ. 44(20): 2383-2392.</t>
  </si>
  <si>
    <t>Schleicher, NJ, S Norra, FH Chai, YZ Chen, SL Wang, KQ Cen, et al. 2011. Temporal variability of trace metal mobility of urban particulate matter from Beijing - A contribution to health impact assessments of aerosols. Atmos. Environ. 45(39): 7248–7265.</t>
  </si>
  <si>
    <t>See, SW, R Balasubramanian and W Wang. 2006. A study of the physical, chemical, and optical properties of ambient aerosol particles in Southeast Asia during hazy and nonhazy days. J. Geophys. Res. 111(D10).</t>
  </si>
  <si>
    <t>Seneviratne, MCS, VA Waduge, L Hadagiripathira, S Sanjeewani, T Attanayake, N Jayaratne, et al. 2011. Characterization and source apportionment of particulate pollution in Colombo, Sri Lanka. Atmospheric Pollution Research 2(2): 207-212.</t>
  </si>
  <si>
    <t>Shah, MH and N Shaheen. 2007. Statistical analysis of atmospheric trace metals and particulate fractions in Islamabad, Pakistan. Journal of Hazardous Materials 147(3): 759-767.</t>
  </si>
  <si>
    <t>Shahsavani, A, K Naddafi, NJ Haghighifard, A Mesdaghinia, M Yunesian, R Nabizadeh, et al. 2012. The evaluation of PM10, PM2.5, and PM1 concentrations during the Middle Eastern Dust (MED) events in Ahvaz, Iran, from april through september 2010. Journal of Arid Environments 77: 72-83.</t>
  </si>
  <si>
    <t>Shaka, H and NA Saliba. 2004. Concentration measurements and chemical composition of PM10-2.5 and PM2.5 at a coastal site in Beirut, Lebanon. Atmos. Environ. 38(4): 523-531.</t>
  </si>
  <si>
    <t>Shaltout, AA, J Boman, DAR Al-Malawi and ZF Shehadeh. 2013. Elemental Composition of PM2.5 Particles Sampled in Industrial and Residential Areas of Taif, Saudi Arabia. Aerosol and air quality research 13(4): 1356-1364.</t>
  </si>
  <si>
    <t>Sharma, P, JC Kuniyal, K Chand, RP Guleria, PP Dhyani and C Chauhan. 2013. Surface ozone concentration and its behaviour with aerosols in the northwestern Himalaya, India. Atmos. Environ. 71: 44-53.</t>
  </si>
  <si>
    <t>Sharma, M and S Maloo. 2005. Assessment of ambient air PM10 and PM2.5 and characterization of PM10 in the city of Kanpur, India. Atmos. Environ. 39: 6015-6026.</t>
  </si>
  <si>
    <t>Shen, ZX, JJ Cao, R Arimoto, ZW Han, RJ Zhang, YM Han, et al. 2009. Ionic composition of TSP and PM2.5 during dust storms and air pollution episodes at Xi'an, China. Atmos. Environ. 43(18): 2911-2918.</t>
  </si>
  <si>
    <t>Shen, ZX, JJ Cao, XX Li, YQ Wang, DM Jie and XY Zhang. 2006. Chemical characteristics of aerosol particles (PM2.5) at a site of Horqin Sand-land in northeast China. Journal of Environmental Sciences-China 18(4): 701-707.</t>
  </si>
  <si>
    <t>Shon, ZH, KH Kim, SK Song, K Jung, NJ Kim and JB Lee. 2012. Relationship between water-soluble ions in PM2.5 and their precursor gases in Seoul megacity. Atmos. Environ. 59: 540-550.</t>
  </si>
  <si>
    <t>Singh, K, S Tiwari, AK Jha, SG Aggarwal, DS Bisht, BP Murty, et al. 2013. Mass-size distribution of PM10 and its characterization of ionic species in fine (PM2.5) and coarse (PM10-2.5) mode, New Delhi, India. Natural Hazards 68(2): 775-789.</t>
  </si>
  <si>
    <t>So, KL, H Guo and YS Li. 2007. Long-term variation of PM2.5 levels and composition at rural, urban, and roadside sites in Hong Kong: Increasing impact of regional air pollution. Atmos. Environ. 41(40): 9427-9434.</t>
  </si>
  <si>
    <t>Soluri, DS, M Godoy, JM Godoy and LA Roldao. 2007. Multi-site PM2.5 and PM2.5-10 aerosol source apportionment in Rio de Janeiro, Brazil. Journal of the Brazilian Chemical Society 18(4): 838-845.</t>
  </si>
  <si>
    <t>Song, Y, XY Tang, S Xie, Y Zhang, Y Wei, M Zhang, et al. 2007. Source apportionment of PM2.5 in Beijing in 2004. J. Harzardous Materials 146: 124–130.</t>
  </si>
  <si>
    <t>Srimuruganandam, B and SMS Nagendra. 2011. Characteristics of particulate matter and heterogeneous traffic in the urban area of India. Atmos. Environ. 45(18): 3091-3102.</t>
  </si>
  <si>
    <t>Srivastava, AK, S Singh, S Tiwari, VP Kanawade and DS Bisht. 2012. Variation between near-surface and columnar aerosol characteristics during the winter and summer at Delhi in the Indo-Gangetic Basin. Journal of Atmospheric and Solar-Terrestrial Physics 77: 57–66.</t>
  </si>
  <si>
    <t>Stone, E, J Schauer, TA Quraishi and A Mahmood. 2010. Chemical characterization and source apportionment of fine and coarse particulate matter in Lahore, Pakistan. Atmos. Environ. 44(8): 1062-1070.</t>
  </si>
  <si>
    <t>Stone et al., AE, 2010</t>
  </si>
  <si>
    <t>Sun, Y, G Zhuang, Y Wang, L Han, J Guo, M Dan, et al. 2004. The air-borne particulate pollution in Beijing--concentration, composition, distribution and sources. Atmos. Environ. 38(35): 5991–6004.</t>
  </si>
  <si>
    <t>Szigeti, T, VG Mihucz, M Ovari, A Baysal, S Atilgan, S Akman, et al. 2013. Chemical characterization of PM2.5 fractions of urban aerosol collected in Budapest and Istanbul. Microchemical Journal 107: 86-94.</t>
  </si>
  <si>
    <t>Tahir, NM, M Koh and S Suratman. 2013. PM2.5 and Associated Ionic Species in a Sub-urban Coastal Area of Kuala Terengganu, Southern South China Sea (Malaysia). Sains Malaysiana 42(8): 1065-1072.</t>
  </si>
  <si>
    <t>Tahri, M, M Bounakhla, H Ait Bouh, M Zghaid, A Benchrif, F Benyaich, et al. 2012. Concentrations and chemical speciation of particulate matter in two Moroccan cites; Meknes and Kenitra. Journal of Environmental Science and Water Resources 1(3): 59-66.</t>
  </si>
  <si>
    <t>Takahashi, K, H Minoura and K Sakamoto. 2008. Chemical composition of atmospheric aerosols in the general environment and around a trunk road in the Tokyo metropolitan area. Atmos. Environ. 42(1): 113-125-113-125.</t>
  </si>
  <si>
    <t>Tao, J, LM Zhang, G Engling, RJ Zhang, YH Yang, JJ Cao, et al. 2013. Chemical composition of PM2.5 in an urban environment in Chengdu, China: Importance of springtime dust storms and biomass burning. Atmospheric Research 122: 270-283.</t>
  </si>
  <si>
    <t>Tao, J, K-F Ho, L Chen, L Zhu, J Han and Z Xu. 2009. Effect of chemical composition of PM2.5 on visibility in Guangzhou, China, 2007 spring. Particuology 7(1): 68-75.</t>
  </si>
  <si>
    <t>Teixeira, EC, L Meira, ERR de Santana and F Wiegand. 2009. Chemical Composition of PM10 and PM2.5 and Seasonal Variation in South Brazil. Water Air and Soil Pollution 199(1-4): 261-275.</t>
  </si>
  <si>
    <t>Tiwari, S, AK Srivastava, DS Bisht, P Parmita, MK Srivastava and SD Attri. 2013. Diurnal and seasonal variations of black carbon and PM2.5 over New Delhi, India: Influence of meteorology. Atmospheric Research 125: 50–62.</t>
  </si>
  <si>
    <t>Tiwari, S, MK Srivastava and DS Bisht. 2008. Chemical Characteristics of Water Soluble Components of Fine Particulate Matter, PM2.5, at Delhi, India. e-Journal Earth Science India 1(3): 72–86.</t>
  </si>
  <si>
    <t>Tiwari, S, AK Srivastava, DS Bisht, T Bano, S Singh, S Behura, et al. 2009. Black carbon and chemical characteristics of PM10 and PM2.5 at an urban site of North India. Journal of Atmospheric Chemistry 62(3): 193–209.</t>
  </si>
  <si>
    <t>Tiwari, S, AK Srivastava, DS Bisht, PD Safai and P Parmita. 2013. Assessment of carbonaceous aerosol over Delhi in the Indo-Gangetic Basin: characterization, sources and temporal variability. Natural Hazards 65(3): 1745–1764.</t>
  </si>
  <si>
    <t>Trompetter, WJ, PK Davy and A Markwitz. 2010. Influence of environmental conditions on carbonaceous particle concentrations within New Zealand. Journal of Aerosol Science 41(1): 134-142.</t>
  </si>
  <si>
    <t>Trompetter, JAS, 2010</t>
  </si>
  <si>
    <t>Tsai, YI and SC Kuo. 2005. PM2.5 aerosol water content and chemical composition in a metropolitan and a coastal area in southern Taiwan. Atmos. Environ. 39(27): 4827-4839.</t>
  </si>
  <si>
    <t>Tsai, YI and CL Chen. 2006. Atmospheric aerosol composition and source apportionments to aerosol in southern Taiwan. Atmos. Environ. 40(25): 4751-4763.</t>
  </si>
  <si>
    <t>Tsai et al., AE, 2006</t>
  </si>
  <si>
    <t>Tsai, JH, LP Chang and HL Chiang. 2013. Size mass distribution of water-soluble ionic species and gas conversion to sulfate and nitrate in particulate matter in southern Taiwan. Environmental Science and Pollution Research 20(7): 4587-4602.</t>
  </si>
  <si>
    <t>Tsai, JH, LTC Chang, YS Huang and HL Chiang. 2011. Particulate Composition Characteristics under Different Ambient Air Quality Conditions. Journal of the Air &amp; Waste Management Association 61(7): 796-805.</t>
  </si>
  <si>
    <t>Valdes, A, M Polve, M Munoz, JP Toutain and D Morata. 2013. Geochemical features of aerosols in Santiago de Chile from time series analysis. Environmental Earth Sciences 69(6): 2073-2090.</t>
  </si>
  <si>
    <t>Valle-Hernandez, BL, V Mugica-Alvarez, E Salinas-Talavera, O Amador-Munoz, MA Murillo-Tovar, R Villalobos-Pietrini, et al. 2010. Temporal variation of nitro-polycyclic aromatic hydrocarbons in PM10 and PM2.5 collected in Northern Mexico City. Science of the Total Environment 408(22): 5429-5438.</t>
  </si>
  <si>
    <t>Vega, E, H Ruiz, S Escalona, A Cervantes, D Lopez-Veneroni, E Gonzalez-Avalos, et al. 2011. Chemical composition of fine particles in Mexico City during 2003-2004. Atmospheric Pollution Research 2(4): 477-483.</t>
  </si>
  <si>
    <t>Vega, E, H Ruiz, G Martinez-Villa, G Sosa, E Gonzalez-Avalos, E Reyes, et al. 2007. Fine and coarse particulate matter chemical characterization in a heavily industrialized city in Central Mexico during winter 2003. Journal of the Air &amp; Waste Management Association 57(5): 620-633.</t>
  </si>
  <si>
    <t>Vega, E, E Reyes, G Sanchez, E Ortiz, M Ruiz, J Chow, et al. 2002. Basic statistics of PM2.5 and PM10 in the atmosphere of Mexico city. Science of the Total Environment 287(3): 167-176.</t>
  </si>
  <si>
    <t>Verma, SK, MK Deb, Y Suzuki and YI Tsai. 2010. Ion chemistry and source identification of coarse and fine aerosols in an urban area of eastern central India. Atmospheric Research 95(1): 65-76.</t>
  </si>
  <si>
    <t>von Schneidemesser, E, JB Zhou, EA Stone, JJ Schauer, R Qasrawi, Z Abdeen, et al. 2010. Seasonal and spatial trends in the sources of fine particle organic carbon in Israel, Jordan, and Palestine. Atmos. Environ. 44(30): 3669-3678.</t>
  </si>
  <si>
    <t>Wang, WC, KS Chen, SJ Chen, CC Lin, JH Tsai, CH Lai, et al. 2008. Characteristics and receptor modeling of atmospheric PM2.5 at urban and rural sites in Pingtung, Taiwan. Aerosol and air quality research 8(2): 112-129.</t>
  </si>
  <si>
    <t>Wang, ZS, T Wu, GL Shi, X Fu, YZ Tian, YC Feng, et al. 2012. Potential Source Analysis for PM10 and PM2.5 in Autumn in a Northern City in China. Aerosol and air quality research 12(1): 39-48.</t>
  </si>
  <si>
    <t>Wang, X, G Carmichael, D Chen, Y Tang and T Wang. 2005. Impacts of different emission sources on air quality during March 2001 in the Pearl River Delta (PRD) region. Atmos. Environ. 39(29): 5227-5241-5227-5241.</t>
  </si>
  <si>
    <t>Wang., Y, G Zhuang, X Zhang, K Huang, C Xu, A Tang, et al. 2006. The ion chemistry, seasonal cycle, and sources of PM2.5 and TSP aerosol in Shanghai. Atmos. Environ. 40: 2935-2952.</t>
  </si>
  <si>
    <t>Wang, J, ZM Hu, YY Chen, ZL Chen and SY Xu. 2013. Contamination characteristics and possible sources of PM10 and PM2.5 in different functional areas of Shanghai, China. Atmos. Environ. 68: 221-229.</t>
  </si>
  <si>
    <t>Wang, Y, GS Zhuang, S Chen, ZS An and AH Zheng. 2007. Characteristics and sources of formic, acetic and oxalic acids in PM2.5 and PM10 aerosols in Beijing, China. Atmospheric Research 84(2): 169–181.</t>
  </si>
  <si>
    <t>Wang, HL, YM Zhou, YH Zhuang, XK Wang and ZP Hao. 2009. Characterization of PM(2.5)/PM(2.5-10) and source tracking in the juncture belt between urban and rural areas of Beijing. Chinese Science Bulletin 54(14): 2506–2515.</t>
  </si>
  <si>
    <t>Wang, XH, XH Bi, GY Sheng and JM Fu. 2006. Chemical composition and sources of PM10 and PM2.5 aerosols in Guangzhou, China. Environmental Monitoring and Assessment 119(1-3): 425-439.</t>
  </si>
  <si>
    <t>Wang, XM, X Ding, XX Fu, QF He, SY Wang, F Bernard, et al. 2012. Aerosol scattering coefficients and major chemical compositions of fine particles observed at a rural site hit the central Pearl River Delta, South China. Journal of Environmental Sciences-China 24(1): 72-77.</t>
  </si>
  <si>
    <t>Wang, GH, H Wang, YJ Yu, SX Gao, JF Feng, ST Gao, et al. 2003. Chemical characterization of water-soluble components of PM10 and PM2.5 atmospheric aerosols in five locations of Nanjing, China. Atmos. Environ. 37(21): 2893–2902.</t>
  </si>
  <si>
    <t>Wang, et al., AE, 2003</t>
  </si>
  <si>
    <t>Wei, F, E Teng, G Wu, W Hu, WE Wilson, RS Chapman, et al. 1999. Ambient concentrations and elemental compositions of PM10 and PM2.5 in four Chinese cities. Environ. Sci. Technol. 33(23): 4188-4193.</t>
  </si>
  <si>
    <t>Weinstein, JP, SR Hedges and S Kimbrough. 2010. Characterization and aerosol mass balance of PM2.5 and PM10 collected in Conakry, Guinea during the 2010 Harmattan period. Chemosphere 78: 980-988.</t>
  </si>
  <si>
    <t>Wimolwattanapun, W, PK Hopke and P Pongkiatkul. 2011. Source apportionment and potential source locations of PM2.5 and PM2.5-10 at residential sites in metropolitan Bangkok. Atmospheric Pollution Research 2(2): 172-181.</t>
  </si>
  <si>
    <t>Wimolwattanapun et al., APR, 2011</t>
  </si>
  <si>
    <t>World Bank. 2004. Toward Cleaner Urban Air in South Asia: Tackling Transport Pollution, Understanding Sources.The World Bank.</t>
  </si>
  <si>
    <t>Xu, J, MH Bergin, X Yu, G Liu, J Zhao, CM Carrico, et al. 2002. Measurement of aerosol chemical, physical and radiative properties in the Yangtze delta region of China. Atmos. Environ. 36(2): 161-173.</t>
  </si>
  <si>
    <t>Xu, DD, M Dan, Y Song, ZF Chai and GS Zhuang. 2005. Concentration characteristics of extractable organohalogens in PM2.5 and PM10 in Beijing, China. Atmos. Environ. 39(22): 4119–4128.</t>
  </si>
  <si>
    <t>Xu, LL, XQ Chen, JS Chen, FW Zhang, C He, JP Zhao, et al. 2012. Seasonal variations and chemical compositions of PM2.5 aerosol in the urban area of Fuzhou, China. Atmospheric Research 104: 264-272.</t>
  </si>
  <si>
    <t>Xu, J, MH Bergin, R Greenwald, JJ Schauer, MM Shafer, JL Jaffrezo, et al. 2004. Aerosol chemical, physical, and radiative characteristics near a desert source region of northwest China during ACE-Asia. J. Geophys. Res. 109(D19).</t>
  </si>
  <si>
    <t>Xu, LL, YK Yu, JS Yu, JS Chen, ZC Niu, LQ Yin, et al. 2013. Spatial distribution and sources identification of elements in PM2.5 among the coastal city group in the Western Taiwan Strait region, China. Science of the Total Environment 442: 77-85.</t>
  </si>
  <si>
    <t>Yadav, S and PG Satsangi. 2013. Characterization of particulate matter and its related metal toxicity in an urban location in South West India. Environmental Monitoring and Assessment 185(9): 7365-7379.</t>
  </si>
  <si>
    <t>Yang, F, J Tan, Q Zhao, Z Du, K He, Y Ma, et al. 2011. Characteristics of PM2.5 speciation in representative megacities and across China. Atmos. Chem. Phys. 11(11): 5207–5219.</t>
  </si>
  <si>
    <t>Yang, LX, XH Zhou, Z Wang, Y Zhou, SH Cheng, PJ Xu, et al. 2012. Airborne fine particulate pollution in Jinan, China: Concentrations, chemical compositions and influence on visibility impairment. Atmos. Environ. 55: 506-514.</t>
  </si>
  <si>
    <t>Yang, FM, BM Ye, KB He, YL Ma, SH Cadle, T Chan, et al. 2005. Characterization of atmospheric mineral components of PM2.5 in Beijing and Shanghai, China. Science of the Total Environment 343(1-3): 221–230.</t>
  </si>
  <si>
    <t>Yang, LX, DC Wang, SH Cheng, Z Wang, Y Zhou, XH Zhou, et al. 2007. Influence of meteorological conditions and particulate matter on visual range impairment in Jinan, China. Science of the Total Environment 383(1-3): 164-173.</t>
  </si>
  <si>
    <t>Yatkin, S and A Bayram. 2008. Source apportionment of PM10 and PM2.5 using positive matrix factorization and chemical mass balance in Izmir, Turkey. Science of the Total Environment 390(1): 109-123.</t>
  </si>
  <si>
    <t>Ye, B, X Ji, H Yang, X Yao, CK Chan, SH Cadle, et al. 2003. Concentration and chemical composition of PM2.5 in Shanghai for a 1-year period. Atmos. Environ. 37(4): 499-510.</t>
  </si>
  <si>
    <t>Yu, Y, N Schleicher, S Norra, M Fricker, V Dietze, U Kaminski, et al. 2011. Dynamics and origin of PM2.5 during a three-year sampling period in Beijing, China. Journal of environmental monitoring 13(2): 334–346.</t>
  </si>
  <si>
    <t>Yu, LD, GF Wang, RJ Zhang, LM Zhang, Y Song, BB Wu, et al. 2013. Characterization and Source Apportionment of PM2.5 in an Urban Environment in Beijing. Aerosol and air quality research 13(2): 574–583.</t>
  </si>
  <si>
    <t>Yu, JH, B Guinot, T Yu, X Wang and WQ Liu. 2005. Seasonal variations of number size distributions and mass concentrations of atmospheric particles in Beijing. Advances in Atmospheric Sciences 22(3): 401–407.</t>
  </si>
  <si>
    <t>Yue, DL, M Hu, ZJ Wu, S Guo, MT Wen, A Nowak, et al. 2010. Variation of particle number size distributions and chemical compositions at the urban and downwind regional sites in the Pearl River Delta during summertime pollution episodes. Atmos. Chem. Phys. 10(19): 9431-9439.</t>
  </si>
  <si>
    <t>Zakey, AS, MM Abdel-Wahab, JBC Pettersson, MJ Gatari and M Hallquist. 2008. Seasonal and spatial variation of atmospheric particulate matter in a developing megacity, the Greater Cairo, Egypt. Atmosfera 21(2): 171-189.</t>
  </si>
  <si>
    <t>Zhang, RJ, J Tao, KF Ho, ZX Shen, GH Wang, JJ Cao, et al. 2012. Characterization of Atmospheric Organic and Elemental Carbon of PM2.5 in a Typical Semi-Arid Area of Northeastern China. Aerosol and air quality research 12(5): 792-802.</t>
  </si>
  <si>
    <t>Zhang, WJ, GS Zhuang, JH Guo, DQ Xu, W Wang, D Baumgardner, et al. 2010. Sources of aerosol as determined from elemental composition and size distributions in Beijing. Atmospheric Research 95(2-3): 197–209.</t>
  </si>
  <si>
    <t>Zhang, FW, LL Xu, JS Chen, YK Yu, ZC Niu and LQ Yin. 2012. Chemical compositions and extinction coefficients of PM2.5 in peri-urban of Xiamen, China, during June 2009-May 2010. Atmospheric Research 106: 150-158.</t>
  </si>
  <si>
    <t>Zhang, W, JH Guo, YL Sun, H Yuan, GS Zhuang, YH Zhuang, et al. 2007. Source apportionment for,urban PM10 and PM2.5 in the Beijing area. Chinese Science Bulletin 52(5): 608–615.</t>
  </si>
  <si>
    <t>Zhang, T, G Engling, CY Chan, YN Zhang, ZS Zhang, M Lin, et al. 2010. Contribution of fungal spores to particulate matter in a tropical rainforest. Environ. Res. Lett. 5(2).</t>
  </si>
  <si>
    <t>Zhang et al., ERL, 2010</t>
  </si>
  <si>
    <t>Zhang, FW, JP Zhao, JS Chen, Y Xu and LL Xu. 2011. Pollution characteristics of organic and elemental carbon in PM2.5 in Xiamen, China. Journal of Environmental Sciences-China 23(8): 1342-1349.</t>
  </si>
  <si>
    <t>Zhang, FW, LL Xu, JS Chen, XQ Chen, ZC Niu, T Lei, et al. 2013. Chemical characteristics of PM2.5 during haze episodes in the urban of Fuzhou, China. Particuology 11(3): 264-272.</t>
  </si>
  <si>
    <t>Zhang, WJ, W Wang, JH Chen, HJ Liu, TY Dai, XY Yang, et al. 2010. Pollution situation and possible markers of different sources in the Ordos Region, Inner Mongolia, China. Science of the Total Environment 408(3): 624-635.</t>
  </si>
  <si>
    <t>Zhao, PS, F Dong, D He, XJ Zhao, XL Zhang, WZ Zhang, et al. 2013. Characteristics of concentrations and chemical compositions for PM2.5 in the region of Beijing, Tianjin, and Hebei, China. Atmos. Chem. Phys. 13(9): 4631–4644.</t>
  </si>
  <si>
    <t>Zhao, X, X Zhang, X Xu, J Xu, W Meng and W Pu. 2009. Seasonal and diurnal variations of ambient PM2.5 concentration in urban and rural environments in Beijing. Atmos. Environ. 43(18): 2893-2900.</t>
  </si>
  <si>
    <t>Zhao, JP, FW Zhang, Y Xu and JS Chen. 2011. Characterization of water-soluble inorganic ions in size-segregated aerosols in coastal city, Xiamen. Atmospheric Research 99(3-4): 546-562.</t>
  </si>
  <si>
    <t>Zheng, M, LG Salmon, JJ Schauer, LM Zeng, CS Kiang, YH Zhang, et al. 2005. Seasonal trends in PM2.5 source contributions in Beijing, China. Atmos. Environ. 39(22): 3967–3976.</t>
  </si>
  <si>
    <t>Zhou, XH, J Cao, T Wang, WS Wu and WX Wang. 2009. Measurement of black carbon aerosols near two Chinese megacities and the implications for improving emission inventories. Atmos. Environ. 43(25): 3918–3924.</t>
  </si>
  <si>
    <t>Zhou, ZF, K Liu, XR Wang and SH Huang. 2005. Characteristics of PM2.5 in rural areas of southern Jiangsu Province, China. Journal of Environmental Sciences-China 17(6): 977-980.</t>
  </si>
  <si>
    <t>Zhou et al., JES, 2005</t>
  </si>
  <si>
    <t>Zhou, Y, T Wang, XM Gao, LK Xue, XF Wang, Z Wang, et al. 2009. Continuous observations of water-soluble ions in PM2.5 at Mount Tai (1534 ma.s.l.) in central-eastern China. Journal of Atmospheric Chemistry 64(2-3): 107-127.</t>
  </si>
  <si>
    <t>Zhu, CS, JJ Cao, CJ Tsai, ZX Shen, KF Ho and SX Liu. 2010. The Indoor and Outdoor Carbonaceous Pollution during Winter and Summer in Rural Areas of Shaanxi, China. Aerosol and air quality research 10(6): 550-558.</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</si>
</sst>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0" fillId="0" borderId="0" xfId="0" applyAlignment="1">
      <alignment horizontal="right"/>
    </xf>
    <xf numFmtId="2" fontId="0" fillId="0" borderId="0" xfId="0" applyNumberFormat="1" applyAlignment="1"/>
    <xf numFmtId="2" fontId="0" fillId="0" borderId="0" xfId="0" applyNumberFormat="1"/>
    <xf numFmtId="0" fontId="0" fillId="0" borderId="0" xfId="0" quotePrefix="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063"/>
  <sheetViews>
    <sheetView tabSelected="1" workbookViewId="0">
      <pane xSplit="16" ySplit="2" topLeftCell="Q3" activePane="bottomRight" state="frozenSplit"/>
      <selection pane="topRight" activeCell="M1" sqref="M1"/>
      <selection pane="bottomLeft" activeCell="A15" sqref="A15"/>
      <selection pane="bottomRight" activeCell="M6" sqref="M6"/>
    </sheetView>
  </sheetViews>
  <sheetFormatPr defaultRowHeight="15" x14ac:dyDescent="0.25"/>
  <cols>
    <col min="1" max="1" width="12.85546875" customWidth="1"/>
    <col min="3" max="3" width="7.5703125" style="3" bestFit="1" customWidth="1"/>
    <col min="4" max="4" width="7.42578125" style="3" customWidth="1"/>
    <col min="5" max="5" width="7" customWidth="1"/>
    <col min="6" max="6" width="5.28515625" bestFit="1" customWidth="1"/>
    <col min="7" max="7" width="14" customWidth="1"/>
    <col min="8" max="8" width="6.5703125" customWidth="1"/>
    <col min="9" max="9" width="4.140625" customWidth="1"/>
    <col min="10" max="10" width="5.140625" customWidth="1"/>
    <col min="11" max="11" width="4.140625" customWidth="1"/>
    <col min="12" max="12" width="20.7109375" customWidth="1"/>
    <col min="13" max="13" width="17.140625" customWidth="1"/>
    <col min="14" max="14" width="8.5703125" customWidth="1"/>
    <col min="15" max="15" width="7.140625" customWidth="1"/>
    <col min="16" max="16" width="6.85546875" customWidth="1"/>
    <col min="17" max="329" width="2.7109375" customWidth="1"/>
  </cols>
  <sheetData>
    <row r="1" spans="1:244" s="1" customFormat="1" ht="14.25" customHeight="1" x14ac:dyDescent="0.25">
      <c r="A1" s="6" t="s">
        <v>0</v>
      </c>
      <c r="B1" s="6" t="s">
        <v>1</v>
      </c>
      <c r="C1" s="6" t="s">
        <v>3</v>
      </c>
      <c r="D1" s="6" t="s">
        <v>4</v>
      </c>
      <c r="E1" s="6" t="s">
        <v>2</v>
      </c>
      <c r="F1" s="6" t="s">
        <v>5</v>
      </c>
      <c r="G1" s="6" t="s">
        <v>24</v>
      </c>
      <c r="H1" s="6" t="s">
        <v>29</v>
      </c>
      <c r="I1" s="6" t="s">
        <v>420</v>
      </c>
      <c r="J1" s="6" t="s">
        <v>419</v>
      </c>
      <c r="K1" s="6" t="s">
        <v>418</v>
      </c>
      <c r="L1" s="6" t="s">
        <v>25</v>
      </c>
      <c r="M1" s="6" t="s">
        <v>787</v>
      </c>
      <c r="N1" s="6" t="s">
        <v>33</v>
      </c>
      <c r="O1" s="6" t="s">
        <v>26</v>
      </c>
      <c r="P1" s="6"/>
      <c r="Q1" s="6">
        <v>1995</v>
      </c>
      <c r="R1" s="6"/>
      <c r="S1" s="6"/>
      <c r="T1" s="6"/>
      <c r="U1" s="6"/>
      <c r="V1" s="6"/>
      <c r="W1" s="6"/>
      <c r="X1" s="6"/>
      <c r="Y1" s="6"/>
      <c r="Z1" s="6"/>
      <c r="AA1" s="6"/>
      <c r="AB1" s="6"/>
      <c r="AC1" s="6">
        <v>1996</v>
      </c>
      <c r="AD1" s="6"/>
      <c r="AE1" s="6"/>
      <c r="AF1" s="6"/>
      <c r="AG1" s="6"/>
      <c r="AH1" s="6"/>
      <c r="AI1" s="6"/>
      <c r="AJ1" s="6"/>
      <c r="AK1" s="6"/>
      <c r="AL1" s="6"/>
      <c r="AM1" s="6"/>
      <c r="AN1" s="6"/>
      <c r="AO1" s="6">
        <v>1997</v>
      </c>
      <c r="AP1" s="6"/>
      <c r="AQ1" s="6"/>
      <c r="AR1" s="6"/>
      <c r="AS1" s="6"/>
      <c r="AT1" s="6"/>
      <c r="AU1" s="6"/>
      <c r="AV1" s="6"/>
      <c r="AW1" s="6"/>
      <c r="AX1" s="6"/>
      <c r="AY1" s="6"/>
      <c r="AZ1" s="6"/>
      <c r="BA1" s="6">
        <v>1998</v>
      </c>
      <c r="BB1" s="6"/>
      <c r="BC1" s="6"/>
      <c r="BD1" s="6"/>
      <c r="BE1" s="6"/>
      <c r="BF1" s="6"/>
      <c r="BG1" s="6"/>
      <c r="BH1" s="6"/>
      <c r="BI1" s="6"/>
      <c r="BJ1" s="6"/>
      <c r="BK1" s="6"/>
      <c r="BL1" s="6"/>
      <c r="BM1" s="6">
        <v>1999</v>
      </c>
      <c r="BN1" s="6"/>
      <c r="BO1" s="6"/>
      <c r="BP1" s="6"/>
      <c r="BQ1" s="6"/>
      <c r="BR1" s="6"/>
      <c r="BS1" s="6"/>
      <c r="BT1" s="6"/>
      <c r="BU1" s="6"/>
      <c r="BV1" s="6"/>
      <c r="BW1" s="6"/>
      <c r="BX1" s="6"/>
      <c r="BY1" s="6">
        <v>2000</v>
      </c>
      <c r="BZ1" s="6"/>
      <c r="CA1" s="6"/>
      <c r="CB1" s="6"/>
      <c r="CC1" s="6"/>
      <c r="CD1" s="6"/>
      <c r="CE1" s="6"/>
      <c r="CF1" s="6"/>
      <c r="CG1" s="6"/>
      <c r="CH1" s="6"/>
      <c r="CI1" s="6"/>
      <c r="CJ1" s="6"/>
      <c r="CK1" s="6">
        <v>2001</v>
      </c>
      <c r="CL1" s="6"/>
      <c r="CM1" s="6"/>
      <c r="CN1" s="6"/>
      <c r="CO1" s="6"/>
      <c r="CP1" s="6"/>
      <c r="CQ1" s="6"/>
      <c r="CR1" s="6"/>
      <c r="CS1" s="6"/>
      <c r="CT1" s="6"/>
      <c r="CU1" s="6"/>
      <c r="CV1" s="6"/>
      <c r="CW1" s="6">
        <v>2002</v>
      </c>
      <c r="CX1" s="6"/>
      <c r="CY1" s="6"/>
      <c r="CZ1" s="6"/>
      <c r="DA1" s="6"/>
      <c r="DB1" s="6"/>
      <c r="DC1" s="6"/>
      <c r="DD1" s="6"/>
      <c r="DE1" s="6"/>
      <c r="DF1" s="6"/>
      <c r="DG1" s="6"/>
      <c r="DH1" s="6"/>
      <c r="DI1" s="6">
        <v>2003</v>
      </c>
      <c r="DJ1" s="6"/>
      <c r="DK1" s="6"/>
      <c r="DL1" s="6"/>
      <c r="DM1" s="6"/>
      <c r="DN1" s="6"/>
      <c r="DO1" s="6"/>
      <c r="DP1" s="6"/>
      <c r="DQ1" s="6"/>
      <c r="DR1" s="6"/>
      <c r="DS1" s="6"/>
      <c r="DT1" s="6"/>
      <c r="DU1" s="6">
        <v>2004</v>
      </c>
      <c r="DV1" s="6"/>
      <c r="DW1" s="6"/>
      <c r="DX1" s="6"/>
      <c r="DY1" s="6"/>
      <c r="DZ1" s="6"/>
      <c r="EA1" s="6"/>
      <c r="EB1" s="6"/>
      <c r="EC1" s="6"/>
      <c r="ED1" s="6"/>
      <c r="EE1" s="6"/>
      <c r="EF1" s="6"/>
      <c r="EG1" s="6">
        <v>2005</v>
      </c>
      <c r="EH1" s="6"/>
      <c r="EI1" s="6"/>
      <c r="EJ1" s="6"/>
      <c r="EK1" s="6"/>
      <c r="EL1" s="6"/>
      <c r="EM1" s="6"/>
      <c r="EN1" s="6"/>
      <c r="EO1" s="6"/>
      <c r="EP1" s="6"/>
      <c r="EQ1" s="6"/>
      <c r="ER1" s="6"/>
      <c r="ES1" s="6">
        <v>2006</v>
      </c>
      <c r="ET1" s="6"/>
      <c r="EU1" s="6"/>
      <c r="EV1" s="6"/>
      <c r="EW1" s="6"/>
      <c r="EX1" s="6"/>
      <c r="EY1" s="6"/>
      <c r="EZ1" s="6"/>
      <c r="FA1" s="6"/>
      <c r="FB1" s="6"/>
      <c r="FC1" s="6"/>
      <c r="FD1" s="6"/>
      <c r="FE1" s="6">
        <v>2007</v>
      </c>
      <c r="FF1" s="6"/>
      <c r="FG1" s="6"/>
      <c r="FH1" s="6"/>
      <c r="FI1" s="6"/>
      <c r="FJ1" s="6"/>
      <c r="FK1" s="6"/>
      <c r="FL1" s="6"/>
      <c r="FM1" s="6"/>
      <c r="FN1" s="6"/>
      <c r="FO1" s="6"/>
      <c r="FP1" s="6"/>
      <c r="FQ1" s="6">
        <v>2008</v>
      </c>
      <c r="FR1" s="6"/>
      <c r="FS1" s="6"/>
      <c r="FT1" s="6"/>
      <c r="FU1" s="6"/>
      <c r="FV1" s="6"/>
      <c r="FW1" s="6"/>
      <c r="FX1" s="6"/>
      <c r="FY1" s="6"/>
      <c r="FZ1" s="6"/>
      <c r="GA1" s="6"/>
      <c r="GB1" s="6"/>
      <c r="GC1" s="6">
        <v>2009</v>
      </c>
      <c r="GD1" s="6"/>
      <c r="GE1" s="6"/>
      <c r="GF1" s="6"/>
      <c r="GG1" s="6"/>
      <c r="GH1" s="6"/>
      <c r="GI1" s="6"/>
      <c r="GJ1" s="6"/>
      <c r="GK1" s="6"/>
      <c r="GL1" s="6"/>
      <c r="GM1" s="6"/>
      <c r="GN1" s="6"/>
      <c r="GO1" s="6">
        <v>2010</v>
      </c>
      <c r="GP1" s="6"/>
      <c r="GQ1" s="6"/>
      <c r="GR1" s="6"/>
      <c r="GS1" s="6"/>
      <c r="GT1" s="6"/>
      <c r="GU1" s="6"/>
      <c r="GV1" s="6"/>
      <c r="GW1" s="6"/>
      <c r="GX1" s="6"/>
      <c r="GY1" s="6"/>
      <c r="GZ1" s="6"/>
      <c r="HA1" s="6">
        <v>2011</v>
      </c>
      <c r="HB1" s="6"/>
      <c r="HC1" s="6"/>
      <c r="HD1" s="6"/>
      <c r="HE1" s="6"/>
      <c r="HF1" s="6"/>
      <c r="HG1" s="6"/>
      <c r="HH1" s="6"/>
      <c r="HI1" s="6"/>
      <c r="HJ1" s="6"/>
      <c r="HK1" s="6"/>
      <c r="HL1" s="6"/>
      <c r="HM1" s="6">
        <v>2012</v>
      </c>
      <c r="HN1" s="6"/>
      <c r="HO1" s="6"/>
      <c r="HP1" s="6"/>
      <c r="HQ1" s="6"/>
      <c r="HR1" s="6"/>
      <c r="HS1" s="6"/>
      <c r="HT1" s="6"/>
      <c r="HU1" s="6"/>
      <c r="HV1" s="6"/>
      <c r="HW1" s="6"/>
      <c r="HX1" s="6"/>
      <c r="HY1" s="6">
        <v>2013</v>
      </c>
      <c r="HZ1" s="6"/>
      <c r="IA1" s="6"/>
      <c r="IB1" s="6"/>
      <c r="IC1" s="6"/>
      <c r="ID1" s="6"/>
      <c r="IE1" s="6"/>
      <c r="IF1" s="6"/>
      <c r="IG1" s="6"/>
      <c r="IH1" s="6"/>
      <c r="II1" s="6"/>
      <c r="IJ1" s="6"/>
    </row>
    <row r="2" spans="1:244" x14ac:dyDescent="0.25">
      <c r="A2" s="6"/>
      <c r="B2" s="6"/>
      <c r="C2" s="6"/>
      <c r="D2" s="6"/>
      <c r="E2" s="6"/>
      <c r="F2" s="6"/>
      <c r="G2" s="6"/>
      <c r="H2" s="6"/>
      <c r="I2" s="6"/>
      <c r="J2" s="6"/>
      <c r="K2" s="6"/>
      <c r="L2" s="6"/>
      <c r="M2" s="6"/>
      <c r="N2" s="6"/>
      <c r="O2" s="1" t="s">
        <v>27</v>
      </c>
      <c r="P2" s="1" t="s">
        <v>28</v>
      </c>
      <c r="Q2" t="s">
        <v>6</v>
      </c>
      <c r="R2" t="s">
        <v>7</v>
      </c>
      <c r="S2" t="s">
        <v>8</v>
      </c>
      <c r="T2" t="s">
        <v>9</v>
      </c>
      <c r="U2" t="s">
        <v>8</v>
      </c>
      <c r="V2" t="s">
        <v>6</v>
      </c>
      <c r="W2" t="s">
        <v>6</v>
      </c>
      <c r="X2" t="s">
        <v>9</v>
      </c>
      <c r="Y2" t="s">
        <v>10</v>
      </c>
      <c r="Z2" t="s">
        <v>11</v>
      </c>
      <c r="AA2" t="s">
        <v>12</v>
      </c>
      <c r="AB2" t="s">
        <v>13</v>
      </c>
      <c r="AC2" t="s">
        <v>6</v>
      </c>
      <c r="AD2" t="s">
        <v>7</v>
      </c>
      <c r="AE2" t="s">
        <v>8</v>
      </c>
      <c r="AF2" t="s">
        <v>9</v>
      </c>
      <c r="AG2" t="s">
        <v>8</v>
      </c>
      <c r="AH2" t="s">
        <v>6</v>
      </c>
      <c r="AI2" t="s">
        <v>6</v>
      </c>
      <c r="AJ2" t="s">
        <v>9</v>
      </c>
      <c r="AK2" t="s">
        <v>10</v>
      </c>
      <c r="AL2" t="s">
        <v>11</v>
      </c>
      <c r="AM2" t="s">
        <v>12</v>
      </c>
      <c r="AN2" t="s">
        <v>13</v>
      </c>
      <c r="AO2" t="s">
        <v>6</v>
      </c>
      <c r="AP2" t="s">
        <v>7</v>
      </c>
      <c r="AQ2" t="s">
        <v>8</v>
      </c>
      <c r="AR2" t="s">
        <v>9</v>
      </c>
      <c r="AS2" t="s">
        <v>8</v>
      </c>
      <c r="AT2" t="s">
        <v>6</v>
      </c>
      <c r="AU2" t="s">
        <v>6</v>
      </c>
      <c r="AV2" t="s">
        <v>9</v>
      </c>
      <c r="AW2" t="s">
        <v>10</v>
      </c>
      <c r="AX2" t="s">
        <v>11</v>
      </c>
      <c r="AY2" t="s">
        <v>12</v>
      </c>
      <c r="AZ2" t="s">
        <v>13</v>
      </c>
      <c r="BA2" t="s">
        <v>6</v>
      </c>
      <c r="BB2" t="s">
        <v>7</v>
      </c>
      <c r="BC2" t="s">
        <v>8</v>
      </c>
      <c r="BD2" t="s">
        <v>9</v>
      </c>
      <c r="BE2" t="s">
        <v>8</v>
      </c>
      <c r="BF2" t="s">
        <v>6</v>
      </c>
      <c r="BG2" t="s">
        <v>6</v>
      </c>
      <c r="BH2" t="s">
        <v>9</v>
      </c>
      <c r="BI2" t="s">
        <v>10</v>
      </c>
      <c r="BJ2" t="s">
        <v>11</v>
      </c>
      <c r="BK2" t="s">
        <v>12</v>
      </c>
      <c r="BL2" t="s">
        <v>13</v>
      </c>
      <c r="BM2" t="s">
        <v>6</v>
      </c>
      <c r="BN2" t="s">
        <v>7</v>
      </c>
      <c r="BO2" t="s">
        <v>8</v>
      </c>
      <c r="BP2" t="s">
        <v>9</v>
      </c>
      <c r="BQ2" t="s">
        <v>8</v>
      </c>
      <c r="BR2" t="s">
        <v>6</v>
      </c>
      <c r="BS2" t="s">
        <v>6</v>
      </c>
      <c r="BT2" t="s">
        <v>9</v>
      </c>
      <c r="BU2" t="s">
        <v>10</v>
      </c>
      <c r="BV2" t="s">
        <v>11</v>
      </c>
      <c r="BW2" t="s">
        <v>12</v>
      </c>
      <c r="BX2" t="s">
        <v>13</v>
      </c>
      <c r="BY2" t="s">
        <v>6</v>
      </c>
      <c r="BZ2" t="s">
        <v>7</v>
      </c>
      <c r="CA2" t="s">
        <v>8</v>
      </c>
      <c r="CB2" t="s">
        <v>9</v>
      </c>
      <c r="CC2" t="s">
        <v>8</v>
      </c>
      <c r="CD2" t="s">
        <v>6</v>
      </c>
      <c r="CE2" t="s">
        <v>6</v>
      </c>
      <c r="CF2" t="s">
        <v>9</v>
      </c>
      <c r="CG2" t="s">
        <v>10</v>
      </c>
      <c r="CH2" t="s">
        <v>11</v>
      </c>
      <c r="CI2" t="s">
        <v>12</v>
      </c>
      <c r="CJ2" t="s">
        <v>13</v>
      </c>
      <c r="CK2" t="s">
        <v>6</v>
      </c>
      <c r="CL2" t="s">
        <v>7</v>
      </c>
      <c r="CM2" t="s">
        <v>8</v>
      </c>
      <c r="CN2" t="s">
        <v>9</v>
      </c>
      <c r="CO2" t="s">
        <v>8</v>
      </c>
      <c r="CP2" t="s">
        <v>6</v>
      </c>
      <c r="CQ2" t="s">
        <v>6</v>
      </c>
      <c r="CR2" t="s">
        <v>9</v>
      </c>
      <c r="CS2" t="s">
        <v>10</v>
      </c>
      <c r="CT2" t="s">
        <v>11</v>
      </c>
      <c r="CU2" t="s">
        <v>12</v>
      </c>
      <c r="CV2" t="s">
        <v>13</v>
      </c>
      <c r="CW2" t="s">
        <v>6</v>
      </c>
      <c r="CX2" t="s">
        <v>7</v>
      </c>
      <c r="CY2" t="s">
        <v>8</v>
      </c>
      <c r="CZ2" t="s">
        <v>9</v>
      </c>
      <c r="DA2" t="s">
        <v>8</v>
      </c>
      <c r="DB2" t="s">
        <v>6</v>
      </c>
      <c r="DC2" t="s">
        <v>6</v>
      </c>
      <c r="DD2" t="s">
        <v>9</v>
      </c>
      <c r="DE2" t="s">
        <v>10</v>
      </c>
      <c r="DF2" t="s">
        <v>11</v>
      </c>
      <c r="DG2" t="s">
        <v>12</v>
      </c>
      <c r="DH2" t="s">
        <v>13</v>
      </c>
      <c r="DI2" t="s">
        <v>6</v>
      </c>
      <c r="DJ2" t="s">
        <v>7</v>
      </c>
      <c r="DK2" t="s">
        <v>8</v>
      </c>
      <c r="DL2" t="s">
        <v>9</v>
      </c>
      <c r="DM2" t="s">
        <v>8</v>
      </c>
      <c r="DN2" t="s">
        <v>6</v>
      </c>
      <c r="DO2" t="s">
        <v>6</v>
      </c>
      <c r="DP2" t="s">
        <v>9</v>
      </c>
      <c r="DQ2" t="s">
        <v>10</v>
      </c>
      <c r="DR2" t="s">
        <v>11</v>
      </c>
      <c r="DS2" t="s">
        <v>12</v>
      </c>
      <c r="DT2" t="s">
        <v>13</v>
      </c>
      <c r="DU2" t="s">
        <v>6</v>
      </c>
      <c r="DV2" t="s">
        <v>7</v>
      </c>
      <c r="DW2" t="s">
        <v>8</v>
      </c>
      <c r="DX2" t="s">
        <v>9</v>
      </c>
      <c r="DY2" t="s">
        <v>8</v>
      </c>
      <c r="DZ2" t="s">
        <v>6</v>
      </c>
      <c r="EA2" t="s">
        <v>6</v>
      </c>
      <c r="EB2" t="s">
        <v>9</v>
      </c>
      <c r="EC2" t="s">
        <v>10</v>
      </c>
      <c r="ED2" t="s">
        <v>11</v>
      </c>
      <c r="EE2" t="s">
        <v>12</v>
      </c>
      <c r="EF2" t="s">
        <v>13</v>
      </c>
      <c r="EG2" t="s">
        <v>6</v>
      </c>
      <c r="EH2" t="s">
        <v>7</v>
      </c>
      <c r="EI2" t="s">
        <v>8</v>
      </c>
      <c r="EJ2" t="s">
        <v>9</v>
      </c>
      <c r="EK2" t="s">
        <v>8</v>
      </c>
      <c r="EL2" t="s">
        <v>6</v>
      </c>
      <c r="EM2" t="s">
        <v>6</v>
      </c>
      <c r="EN2" t="s">
        <v>9</v>
      </c>
      <c r="EO2" t="s">
        <v>10</v>
      </c>
      <c r="EP2" t="s">
        <v>11</v>
      </c>
      <c r="EQ2" t="s">
        <v>12</v>
      </c>
      <c r="ER2" t="s">
        <v>13</v>
      </c>
      <c r="ES2" t="s">
        <v>6</v>
      </c>
      <c r="ET2" t="s">
        <v>7</v>
      </c>
      <c r="EU2" t="s">
        <v>8</v>
      </c>
      <c r="EV2" t="s">
        <v>9</v>
      </c>
      <c r="EW2" t="s">
        <v>8</v>
      </c>
      <c r="EX2" t="s">
        <v>6</v>
      </c>
      <c r="EY2" t="s">
        <v>6</v>
      </c>
      <c r="EZ2" t="s">
        <v>9</v>
      </c>
      <c r="FA2" t="s">
        <v>10</v>
      </c>
      <c r="FB2" t="s">
        <v>11</v>
      </c>
      <c r="FC2" t="s">
        <v>12</v>
      </c>
      <c r="FD2" t="s">
        <v>13</v>
      </c>
      <c r="FE2" t="s">
        <v>6</v>
      </c>
      <c r="FF2" t="s">
        <v>7</v>
      </c>
      <c r="FG2" t="s">
        <v>8</v>
      </c>
      <c r="FH2" t="s">
        <v>9</v>
      </c>
      <c r="FI2" t="s">
        <v>8</v>
      </c>
      <c r="FJ2" t="s">
        <v>6</v>
      </c>
      <c r="FK2" t="s">
        <v>6</v>
      </c>
      <c r="FL2" t="s">
        <v>9</v>
      </c>
      <c r="FM2" t="s">
        <v>10</v>
      </c>
      <c r="FN2" t="s">
        <v>11</v>
      </c>
      <c r="FO2" t="s">
        <v>12</v>
      </c>
      <c r="FP2" t="s">
        <v>13</v>
      </c>
      <c r="FQ2" t="s">
        <v>6</v>
      </c>
      <c r="FR2" t="s">
        <v>7</v>
      </c>
      <c r="FS2" t="s">
        <v>8</v>
      </c>
      <c r="FT2" t="s">
        <v>9</v>
      </c>
      <c r="FU2" t="s">
        <v>8</v>
      </c>
      <c r="FV2" t="s">
        <v>6</v>
      </c>
      <c r="FW2" t="s">
        <v>6</v>
      </c>
      <c r="FX2" t="s">
        <v>9</v>
      </c>
      <c r="FY2" t="s">
        <v>10</v>
      </c>
      <c r="FZ2" t="s">
        <v>11</v>
      </c>
      <c r="GA2" t="s">
        <v>12</v>
      </c>
      <c r="GB2" t="s">
        <v>13</v>
      </c>
      <c r="GC2" t="s">
        <v>6</v>
      </c>
      <c r="GD2" t="s">
        <v>7</v>
      </c>
      <c r="GE2" t="s">
        <v>8</v>
      </c>
      <c r="GF2" t="s">
        <v>9</v>
      </c>
      <c r="GG2" t="s">
        <v>8</v>
      </c>
      <c r="GH2" t="s">
        <v>6</v>
      </c>
      <c r="GI2" t="s">
        <v>6</v>
      </c>
      <c r="GJ2" t="s">
        <v>9</v>
      </c>
      <c r="GK2" t="s">
        <v>10</v>
      </c>
      <c r="GL2" t="s">
        <v>11</v>
      </c>
      <c r="GM2" t="s">
        <v>12</v>
      </c>
      <c r="GN2" t="s">
        <v>13</v>
      </c>
      <c r="GO2" t="s">
        <v>6</v>
      </c>
      <c r="GP2" t="s">
        <v>7</v>
      </c>
      <c r="GQ2" t="s">
        <v>8</v>
      </c>
      <c r="GR2" t="s">
        <v>9</v>
      </c>
      <c r="GS2" t="s">
        <v>8</v>
      </c>
      <c r="GT2" t="s">
        <v>6</v>
      </c>
      <c r="GU2" t="s">
        <v>6</v>
      </c>
      <c r="GV2" t="s">
        <v>9</v>
      </c>
      <c r="GW2" t="s">
        <v>10</v>
      </c>
      <c r="GX2" t="s">
        <v>11</v>
      </c>
      <c r="GY2" t="s">
        <v>12</v>
      </c>
      <c r="GZ2" t="s">
        <v>13</v>
      </c>
      <c r="HA2" t="s">
        <v>6</v>
      </c>
      <c r="HB2" t="s">
        <v>7</v>
      </c>
      <c r="HC2" t="s">
        <v>8</v>
      </c>
      <c r="HD2" t="s">
        <v>9</v>
      </c>
      <c r="HE2" t="s">
        <v>8</v>
      </c>
      <c r="HF2" t="s">
        <v>6</v>
      </c>
      <c r="HG2" t="s">
        <v>6</v>
      </c>
      <c r="HH2" t="s">
        <v>9</v>
      </c>
      <c r="HI2" t="s">
        <v>10</v>
      </c>
      <c r="HJ2" t="s">
        <v>11</v>
      </c>
      <c r="HK2" t="s">
        <v>12</v>
      </c>
      <c r="HL2" t="s">
        <v>13</v>
      </c>
      <c r="HM2" t="s">
        <v>6</v>
      </c>
      <c r="HN2" t="s">
        <v>7</v>
      </c>
      <c r="HO2" t="s">
        <v>8</v>
      </c>
      <c r="HP2" t="s">
        <v>9</v>
      </c>
      <c r="HQ2" t="s">
        <v>8</v>
      </c>
      <c r="HR2" t="s">
        <v>6</v>
      </c>
      <c r="HS2" t="s">
        <v>6</v>
      </c>
      <c r="HT2" t="s">
        <v>9</v>
      </c>
      <c r="HU2" t="s">
        <v>10</v>
      </c>
      <c r="HV2" t="s">
        <v>11</v>
      </c>
      <c r="HW2" t="s">
        <v>12</v>
      </c>
      <c r="HX2" t="s">
        <v>13</v>
      </c>
      <c r="HY2" t="s">
        <v>6</v>
      </c>
      <c r="HZ2" t="s">
        <v>7</v>
      </c>
      <c r="IA2" t="s">
        <v>8</v>
      </c>
      <c r="IB2" t="s">
        <v>9</v>
      </c>
      <c r="IC2" t="s">
        <v>8</v>
      </c>
      <c r="ID2" t="s">
        <v>6</v>
      </c>
      <c r="IE2" t="s">
        <v>6</v>
      </c>
      <c r="IF2" t="s">
        <v>9</v>
      </c>
      <c r="IG2" t="s">
        <v>10</v>
      </c>
      <c r="IH2" t="s">
        <v>11</v>
      </c>
      <c r="II2" t="s">
        <v>12</v>
      </c>
      <c r="IJ2" t="s">
        <v>13</v>
      </c>
    </row>
    <row r="3" spans="1:244" x14ac:dyDescent="0.25">
      <c r="A3" t="s">
        <v>628</v>
      </c>
      <c r="B3" t="s">
        <v>446</v>
      </c>
      <c r="C3" s="3">
        <v>34.94</v>
      </c>
      <c r="D3" s="3">
        <v>69.27</v>
      </c>
      <c r="E3" t="s">
        <v>12</v>
      </c>
      <c r="F3" t="s">
        <v>9</v>
      </c>
      <c r="G3" t="s">
        <v>106</v>
      </c>
      <c r="I3" t="s">
        <v>12</v>
      </c>
      <c r="J3" t="s">
        <v>12</v>
      </c>
      <c r="K3" t="s">
        <v>15</v>
      </c>
      <c r="L3" t="s">
        <v>625</v>
      </c>
      <c r="M3" t="s">
        <v>788</v>
      </c>
      <c r="O3">
        <v>108</v>
      </c>
      <c r="ER3">
        <v>1</v>
      </c>
      <c r="ES3">
        <v>1</v>
      </c>
      <c r="ET3">
        <v>1</v>
      </c>
      <c r="EU3">
        <v>1</v>
      </c>
      <c r="EV3">
        <v>1</v>
      </c>
      <c r="EW3">
        <v>1</v>
      </c>
      <c r="EX3">
        <v>1</v>
      </c>
      <c r="EY3">
        <v>1</v>
      </c>
      <c r="EZ3">
        <v>1</v>
      </c>
      <c r="FA3">
        <v>1</v>
      </c>
      <c r="FB3">
        <v>1</v>
      </c>
      <c r="FC3">
        <v>1</v>
      </c>
      <c r="FD3">
        <v>1</v>
      </c>
      <c r="FE3">
        <v>1</v>
      </c>
      <c r="FF3">
        <v>1</v>
      </c>
      <c r="FG3">
        <v>1</v>
      </c>
      <c r="FH3">
        <v>1</v>
      </c>
      <c r="FI3">
        <v>1</v>
      </c>
    </row>
    <row r="4" spans="1:244" x14ac:dyDescent="0.25">
      <c r="A4" t="s">
        <v>444</v>
      </c>
      <c r="B4" t="s">
        <v>446</v>
      </c>
      <c r="C4" s="3">
        <v>34.520000000000003</v>
      </c>
      <c r="D4" s="3">
        <v>69.17</v>
      </c>
      <c r="E4" t="s">
        <v>12</v>
      </c>
      <c r="F4" t="s">
        <v>77</v>
      </c>
      <c r="G4" t="s">
        <v>106</v>
      </c>
      <c r="I4" t="s">
        <v>12</v>
      </c>
      <c r="J4" t="s">
        <v>12</v>
      </c>
      <c r="K4" t="s">
        <v>15</v>
      </c>
      <c r="L4" t="s">
        <v>445</v>
      </c>
      <c r="M4" t="s">
        <v>978</v>
      </c>
      <c r="O4">
        <f>AVERAGE(86,68)</f>
        <v>77</v>
      </c>
      <c r="GL4">
        <v>0.5</v>
      </c>
    </row>
    <row r="5" spans="1:244" x14ac:dyDescent="0.25">
      <c r="A5" t="s">
        <v>629</v>
      </c>
      <c r="B5" t="s">
        <v>446</v>
      </c>
      <c r="C5" s="3">
        <v>33.33</v>
      </c>
      <c r="D5" s="3">
        <v>69.92</v>
      </c>
      <c r="E5" t="s">
        <v>12</v>
      </c>
      <c r="F5" t="s">
        <v>9</v>
      </c>
      <c r="G5" t="s">
        <v>106</v>
      </c>
      <c r="I5" t="s">
        <v>12</v>
      </c>
      <c r="J5" t="s">
        <v>12</v>
      </c>
      <c r="K5" t="s">
        <v>15</v>
      </c>
      <c r="L5" t="s">
        <v>625</v>
      </c>
      <c r="M5" t="s">
        <v>788</v>
      </c>
      <c r="O5">
        <v>127</v>
      </c>
      <c r="EW5">
        <v>1</v>
      </c>
      <c r="EX5">
        <v>1</v>
      </c>
      <c r="EY5">
        <v>1</v>
      </c>
      <c r="EZ5">
        <v>1</v>
      </c>
      <c r="FA5">
        <v>1</v>
      </c>
      <c r="FB5">
        <v>1</v>
      </c>
      <c r="FC5">
        <v>1</v>
      </c>
      <c r="FD5">
        <v>1</v>
      </c>
      <c r="FE5">
        <v>1</v>
      </c>
      <c r="FF5">
        <v>1</v>
      </c>
      <c r="FG5">
        <v>1</v>
      </c>
      <c r="FH5">
        <v>1</v>
      </c>
      <c r="FI5">
        <v>1</v>
      </c>
      <c r="FJ5">
        <v>1</v>
      </c>
    </row>
    <row r="6" spans="1:244" x14ac:dyDescent="0.25">
      <c r="A6" t="s">
        <v>450</v>
      </c>
      <c r="B6" t="s">
        <v>451</v>
      </c>
      <c r="C6" s="3">
        <v>-31.42</v>
      </c>
      <c r="D6" s="3">
        <v>-64.19</v>
      </c>
      <c r="E6" t="s">
        <v>34</v>
      </c>
      <c r="F6" t="s">
        <v>34</v>
      </c>
      <c r="G6" t="s">
        <v>106</v>
      </c>
      <c r="I6" t="s">
        <v>12</v>
      </c>
      <c r="J6" t="s">
        <v>12</v>
      </c>
      <c r="K6" t="s">
        <v>15</v>
      </c>
      <c r="L6" t="s">
        <v>452</v>
      </c>
      <c r="M6" t="s">
        <v>973</v>
      </c>
      <c r="O6">
        <v>80</v>
      </c>
      <c r="GI6">
        <v>1</v>
      </c>
    </row>
    <row r="7" spans="1:244" x14ac:dyDescent="0.25">
      <c r="A7" t="s">
        <v>450</v>
      </c>
      <c r="B7" t="s">
        <v>451</v>
      </c>
      <c r="C7" s="3">
        <v>-31.42</v>
      </c>
      <c r="D7" s="3">
        <v>-64.19</v>
      </c>
      <c r="E7" t="s">
        <v>34</v>
      </c>
      <c r="F7" t="s">
        <v>34</v>
      </c>
      <c r="G7" t="s">
        <v>106</v>
      </c>
      <c r="I7" t="s">
        <v>12</v>
      </c>
      <c r="J7" t="s">
        <v>12</v>
      </c>
      <c r="K7" t="s">
        <v>15</v>
      </c>
      <c r="L7" t="s">
        <v>452</v>
      </c>
      <c r="M7" t="s">
        <v>973</v>
      </c>
      <c r="O7">
        <v>42</v>
      </c>
      <c r="GJ7">
        <v>1</v>
      </c>
    </row>
    <row r="8" spans="1:244" x14ac:dyDescent="0.25">
      <c r="A8" t="s">
        <v>450</v>
      </c>
      <c r="B8" t="s">
        <v>451</v>
      </c>
      <c r="C8" s="3">
        <v>-31.42</v>
      </c>
      <c r="D8" s="3">
        <v>-64.19</v>
      </c>
      <c r="E8" t="s">
        <v>34</v>
      </c>
      <c r="F8" t="s">
        <v>34</v>
      </c>
      <c r="G8" t="s">
        <v>106</v>
      </c>
      <c r="I8" t="s">
        <v>12</v>
      </c>
      <c r="J8" t="s">
        <v>12</v>
      </c>
      <c r="K8" t="s">
        <v>15</v>
      </c>
      <c r="L8" t="s">
        <v>452</v>
      </c>
      <c r="M8" t="s">
        <v>973</v>
      </c>
      <c r="O8">
        <v>81</v>
      </c>
      <c r="GK8">
        <v>1</v>
      </c>
    </row>
    <row r="9" spans="1:244" x14ac:dyDescent="0.25">
      <c r="A9" t="s">
        <v>450</v>
      </c>
      <c r="B9" t="s">
        <v>451</v>
      </c>
      <c r="C9" s="3">
        <v>-31.42</v>
      </c>
      <c r="D9" s="3">
        <v>-64.19</v>
      </c>
      <c r="E9" t="s">
        <v>34</v>
      </c>
      <c r="F9" t="s">
        <v>34</v>
      </c>
      <c r="G9" t="s">
        <v>106</v>
      </c>
      <c r="I9" t="s">
        <v>12</v>
      </c>
      <c r="J9" t="s">
        <v>12</v>
      </c>
      <c r="K9" t="s">
        <v>15</v>
      </c>
      <c r="L9" t="s">
        <v>452</v>
      </c>
      <c r="M9" t="s">
        <v>973</v>
      </c>
      <c r="O9">
        <v>112</v>
      </c>
      <c r="GL9">
        <v>1</v>
      </c>
    </row>
    <row r="10" spans="1:244" x14ac:dyDescent="0.25">
      <c r="A10" t="s">
        <v>450</v>
      </c>
      <c r="B10" t="s">
        <v>451</v>
      </c>
      <c r="C10" s="3">
        <v>-31.42</v>
      </c>
      <c r="D10" s="3">
        <v>-64.19</v>
      </c>
      <c r="E10" t="s">
        <v>34</v>
      </c>
      <c r="F10" t="s">
        <v>34</v>
      </c>
      <c r="G10" t="s">
        <v>106</v>
      </c>
      <c r="I10" t="s">
        <v>12</v>
      </c>
      <c r="J10" t="s">
        <v>12</v>
      </c>
      <c r="K10" t="s">
        <v>15</v>
      </c>
      <c r="L10" t="s">
        <v>452</v>
      </c>
      <c r="M10" t="s">
        <v>973</v>
      </c>
      <c r="O10">
        <v>63</v>
      </c>
      <c r="GM10">
        <v>1</v>
      </c>
    </row>
    <row r="11" spans="1:244" x14ac:dyDescent="0.25">
      <c r="A11" t="s">
        <v>450</v>
      </c>
      <c r="B11" t="s">
        <v>451</v>
      </c>
      <c r="C11" s="3">
        <v>-31.42</v>
      </c>
      <c r="D11" s="3">
        <v>-64.19</v>
      </c>
      <c r="E11" t="s">
        <v>34</v>
      </c>
      <c r="F11" t="s">
        <v>34</v>
      </c>
      <c r="G11" t="s">
        <v>106</v>
      </c>
      <c r="I11" t="s">
        <v>12</v>
      </c>
      <c r="J11" t="s">
        <v>12</v>
      </c>
      <c r="K11" t="s">
        <v>15</v>
      </c>
      <c r="L11" t="s">
        <v>452</v>
      </c>
      <c r="M11" t="s">
        <v>973</v>
      </c>
      <c r="O11">
        <v>74</v>
      </c>
      <c r="GO11">
        <v>1</v>
      </c>
    </row>
    <row r="12" spans="1:244" x14ac:dyDescent="0.25">
      <c r="A12" t="s">
        <v>450</v>
      </c>
      <c r="B12" t="s">
        <v>451</v>
      </c>
      <c r="C12" s="3">
        <v>-31.42</v>
      </c>
      <c r="D12" s="3">
        <v>-64.19</v>
      </c>
      <c r="E12" t="s">
        <v>34</v>
      </c>
      <c r="F12" t="s">
        <v>34</v>
      </c>
      <c r="G12" t="s">
        <v>106</v>
      </c>
      <c r="I12" t="s">
        <v>12</v>
      </c>
      <c r="J12" t="s">
        <v>12</v>
      </c>
      <c r="K12" t="s">
        <v>15</v>
      </c>
      <c r="L12" t="s">
        <v>452</v>
      </c>
      <c r="M12" t="s">
        <v>973</v>
      </c>
      <c r="O12">
        <v>65</v>
      </c>
      <c r="GP12">
        <v>1</v>
      </c>
    </row>
    <row r="13" spans="1:244" x14ac:dyDescent="0.25">
      <c r="A13" t="s">
        <v>450</v>
      </c>
      <c r="B13" t="s">
        <v>451</v>
      </c>
      <c r="C13" s="3">
        <v>-31.42</v>
      </c>
      <c r="D13" s="3">
        <v>-64.19</v>
      </c>
      <c r="E13" t="s">
        <v>34</v>
      </c>
      <c r="F13" t="s">
        <v>34</v>
      </c>
      <c r="G13" t="s">
        <v>106</v>
      </c>
      <c r="I13" t="s">
        <v>12</v>
      </c>
      <c r="J13" t="s">
        <v>12</v>
      </c>
      <c r="K13" t="s">
        <v>15</v>
      </c>
      <c r="L13" t="s">
        <v>452</v>
      </c>
      <c r="M13" t="s">
        <v>973</v>
      </c>
      <c r="O13">
        <v>78</v>
      </c>
      <c r="GQ13">
        <v>1</v>
      </c>
    </row>
    <row r="14" spans="1:244" x14ac:dyDescent="0.25">
      <c r="A14" t="s">
        <v>450</v>
      </c>
      <c r="B14" t="s">
        <v>451</v>
      </c>
      <c r="C14" s="3">
        <v>-31.42</v>
      </c>
      <c r="D14" s="3">
        <v>-64.19</v>
      </c>
      <c r="E14" t="s">
        <v>34</v>
      </c>
      <c r="F14" t="s">
        <v>34</v>
      </c>
      <c r="G14" t="s">
        <v>106</v>
      </c>
      <c r="I14" t="s">
        <v>12</v>
      </c>
      <c r="J14" t="s">
        <v>12</v>
      </c>
      <c r="K14" t="s">
        <v>15</v>
      </c>
      <c r="L14" t="s">
        <v>452</v>
      </c>
      <c r="M14" t="s">
        <v>973</v>
      </c>
      <c r="O14">
        <v>55</v>
      </c>
      <c r="GR14">
        <v>1</v>
      </c>
    </row>
    <row r="15" spans="1:244" x14ac:dyDescent="0.25">
      <c r="A15" t="s">
        <v>450</v>
      </c>
      <c r="B15" t="s">
        <v>451</v>
      </c>
      <c r="C15" s="3">
        <v>-31.44</v>
      </c>
      <c r="D15" s="3">
        <v>-64.19</v>
      </c>
      <c r="E15" t="s">
        <v>34</v>
      </c>
      <c r="F15" t="s">
        <v>21</v>
      </c>
      <c r="G15" t="s">
        <v>106</v>
      </c>
      <c r="I15" t="s">
        <v>12</v>
      </c>
      <c r="J15" t="s">
        <v>12</v>
      </c>
      <c r="K15" t="s">
        <v>15</v>
      </c>
      <c r="L15" t="s">
        <v>452</v>
      </c>
      <c r="M15" t="s">
        <v>973</v>
      </c>
      <c r="O15">
        <v>60</v>
      </c>
      <c r="GI15">
        <v>1</v>
      </c>
    </row>
    <row r="16" spans="1:244" x14ac:dyDescent="0.25">
      <c r="A16" t="s">
        <v>450</v>
      </c>
      <c r="B16" t="s">
        <v>451</v>
      </c>
      <c r="C16" s="3">
        <v>-31.44</v>
      </c>
      <c r="D16" s="3">
        <v>-64.19</v>
      </c>
      <c r="E16" t="s">
        <v>34</v>
      </c>
      <c r="F16" t="s">
        <v>21</v>
      </c>
      <c r="G16" t="s">
        <v>106</v>
      </c>
      <c r="I16" t="s">
        <v>12</v>
      </c>
      <c r="J16" t="s">
        <v>12</v>
      </c>
      <c r="K16" t="s">
        <v>15</v>
      </c>
      <c r="L16" t="s">
        <v>452</v>
      </c>
      <c r="M16" t="s">
        <v>973</v>
      </c>
      <c r="O16">
        <v>53</v>
      </c>
      <c r="GJ16">
        <v>1</v>
      </c>
    </row>
    <row r="17" spans="1:200" x14ac:dyDescent="0.25">
      <c r="A17" t="s">
        <v>450</v>
      </c>
      <c r="B17" t="s">
        <v>451</v>
      </c>
      <c r="C17" s="3">
        <v>-31.44</v>
      </c>
      <c r="D17" s="3">
        <v>-64.19</v>
      </c>
      <c r="E17" t="s">
        <v>34</v>
      </c>
      <c r="F17" t="s">
        <v>21</v>
      </c>
      <c r="G17" t="s">
        <v>106</v>
      </c>
      <c r="I17" t="s">
        <v>12</v>
      </c>
      <c r="J17" t="s">
        <v>12</v>
      </c>
      <c r="K17" t="s">
        <v>15</v>
      </c>
      <c r="L17" t="s">
        <v>452</v>
      </c>
      <c r="M17" t="s">
        <v>973</v>
      </c>
      <c r="O17">
        <v>49</v>
      </c>
      <c r="GK17">
        <v>1</v>
      </c>
    </row>
    <row r="18" spans="1:200" x14ac:dyDescent="0.25">
      <c r="A18" t="s">
        <v>450</v>
      </c>
      <c r="B18" t="s">
        <v>451</v>
      </c>
      <c r="C18" s="3">
        <v>-31.44</v>
      </c>
      <c r="D18" s="3">
        <v>-64.19</v>
      </c>
      <c r="E18" t="s">
        <v>34</v>
      </c>
      <c r="F18" t="s">
        <v>21</v>
      </c>
      <c r="G18" t="s">
        <v>106</v>
      </c>
      <c r="I18" t="s">
        <v>12</v>
      </c>
      <c r="J18" t="s">
        <v>12</v>
      </c>
      <c r="K18" t="s">
        <v>15</v>
      </c>
      <c r="L18" t="s">
        <v>452</v>
      </c>
      <c r="M18" t="s">
        <v>973</v>
      </c>
      <c r="O18">
        <v>71</v>
      </c>
      <c r="GL18">
        <v>1</v>
      </c>
    </row>
    <row r="19" spans="1:200" x14ac:dyDescent="0.25">
      <c r="A19" t="s">
        <v>450</v>
      </c>
      <c r="B19" t="s">
        <v>451</v>
      </c>
      <c r="C19" s="3">
        <v>-31.44</v>
      </c>
      <c r="D19" s="3">
        <v>-64.19</v>
      </c>
      <c r="E19" t="s">
        <v>34</v>
      </c>
      <c r="F19" t="s">
        <v>21</v>
      </c>
      <c r="G19" t="s">
        <v>106</v>
      </c>
      <c r="I19" t="s">
        <v>12</v>
      </c>
      <c r="J19" t="s">
        <v>12</v>
      </c>
      <c r="K19" t="s">
        <v>15</v>
      </c>
      <c r="L19" t="s">
        <v>452</v>
      </c>
      <c r="M19" t="s">
        <v>973</v>
      </c>
      <c r="O19">
        <v>38</v>
      </c>
      <c r="GM19">
        <v>1</v>
      </c>
    </row>
    <row r="20" spans="1:200" x14ac:dyDescent="0.25">
      <c r="A20" t="s">
        <v>450</v>
      </c>
      <c r="B20" t="s">
        <v>451</v>
      </c>
      <c r="C20" s="3">
        <v>-31.44</v>
      </c>
      <c r="D20" s="3">
        <v>-64.19</v>
      </c>
      <c r="E20" t="s">
        <v>34</v>
      </c>
      <c r="F20" t="s">
        <v>21</v>
      </c>
      <c r="G20" t="s">
        <v>106</v>
      </c>
      <c r="I20" t="s">
        <v>12</v>
      </c>
      <c r="J20" t="s">
        <v>12</v>
      </c>
      <c r="K20" t="s">
        <v>15</v>
      </c>
      <c r="L20" t="s">
        <v>452</v>
      </c>
      <c r="M20" t="s">
        <v>973</v>
      </c>
      <c r="O20">
        <v>91</v>
      </c>
      <c r="GN20">
        <v>1</v>
      </c>
    </row>
    <row r="21" spans="1:200" x14ac:dyDescent="0.25">
      <c r="A21" t="s">
        <v>450</v>
      </c>
      <c r="B21" t="s">
        <v>451</v>
      </c>
      <c r="C21" s="3">
        <v>-31.44</v>
      </c>
      <c r="D21" s="3">
        <v>-64.19</v>
      </c>
      <c r="E21" t="s">
        <v>34</v>
      </c>
      <c r="F21" t="s">
        <v>21</v>
      </c>
      <c r="G21" t="s">
        <v>106</v>
      </c>
      <c r="I21" t="s">
        <v>12</v>
      </c>
      <c r="J21" t="s">
        <v>12</v>
      </c>
      <c r="K21" t="s">
        <v>15</v>
      </c>
      <c r="L21" t="s">
        <v>452</v>
      </c>
      <c r="M21" t="s">
        <v>973</v>
      </c>
      <c r="O21">
        <v>93</v>
      </c>
      <c r="GP21">
        <v>1</v>
      </c>
    </row>
    <row r="22" spans="1:200" x14ac:dyDescent="0.25">
      <c r="A22" t="s">
        <v>450</v>
      </c>
      <c r="B22" t="s">
        <v>451</v>
      </c>
      <c r="C22" s="3">
        <v>-31.44</v>
      </c>
      <c r="D22" s="3">
        <v>-64.19</v>
      </c>
      <c r="E22" t="s">
        <v>34</v>
      </c>
      <c r="F22" t="s">
        <v>21</v>
      </c>
      <c r="G22" t="s">
        <v>106</v>
      </c>
      <c r="I22" t="s">
        <v>12</v>
      </c>
      <c r="J22" t="s">
        <v>12</v>
      </c>
      <c r="K22" t="s">
        <v>15</v>
      </c>
      <c r="L22" t="s">
        <v>452</v>
      </c>
      <c r="M22" t="s">
        <v>973</v>
      </c>
      <c r="O22">
        <v>53</v>
      </c>
      <c r="GQ22">
        <v>1</v>
      </c>
    </row>
    <row r="23" spans="1:200" x14ac:dyDescent="0.25">
      <c r="A23" t="s">
        <v>450</v>
      </c>
      <c r="B23" t="s">
        <v>451</v>
      </c>
      <c r="C23" s="3">
        <v>-31.44</v>
      </c>
      <c r="D23" s="3">
        <v>-64.19</v>
      </c>
      <c r="E23" t="s">
        <v>34</v>
      </c>
      <c r="F23" t="s">
        <v>21</v>
      </c>
      <c r="G23" t="s">
        <v>106</v>
      </c>
      <c r="I23" t="s">
        <v>12</v>
      </c>
      <c r="J23" t="s">
        <v>12</v>
      </c>
      <c r="K23" t="s">
        <v>15</v>
      </c>
      <c r="L23" t="s">
        <v>452</v>
      </c>
      <c r="M23" t="s">
        <v>973</v>
      </c>
      <c r="O23">
        <v>56</v>
      </c>
      <c r="GR23">
        <v>1</v>
      </c>
    </row>
    <row r="24" spans="1:200" x14ac:dyDescent="0.25">
      <c r="A24" t="s">
        <v>561</v>
      </c>
      <c r="B24" t="s">
        <v>340</v>
      </c>
      <c r="C24" s="3">
        <v>-33.93</v>
      </c>
      <c r="D24" s="3">
        <v>150.91</v>
      </c>
      <c r="E24" t="s">
        <v>15</v>
      </c>
      <c r="F24" t="s">
        <v>77</v>
      </c>
      <c r="G24" t="s">
        <v>106</v>
      </c>
      <c r="I24" t="s">
        <v>12</v>
      </c>
      <c r="J24" t="s">
        <v>12</v>
      </c>
      <c r="K24" t="s">
        <v>12</v>
      </c>
      <c r="L24" t="s">
        <v>560</v>
      </c>
      <c r="M24" t="s">
        <v>906</v>
      </c>
      <c r="O24">
        <v>7.62</v>
      </c>
      <c r="P24">
        <v>4.3600000000000003</v>
      </c>
      <c r="CW24">
        <v>1</v>
      </c>
      <c r="CX24">
        <v>1</v>
      </c>
      <c r="CY24">
        <v>1</v>
      </c>
      <c r="CZ24">
        <v>1</v>
      </c>
      <c r="DA24">
        <v>1</v>
      </c>
      <c r="DB24">
        <v>1</v>
      </c>
      <c r="DC24">
        <v>1</v>
      </c>
      <c r="DD24">
        <v>1</v>
      </c>
      <c r="DE24">
        <v>1</v>
      </c>
      <c r="DF24">
        <v>1</v>
      </c>
      <c r="DG24">
        <v>1</v>
      </c>
      <c r="DH24">
        <v>1</v>
      </c>
      <c r="DI24">
        <v>1</v>
      </c>
      <c r="DJ24">
        <v>1</v>
      </c>
      <c r="DK24">
        <v>1</v>
      </c>
      <c r="DL24">
        <v>1</v>
      </c>
      <c r="DM24">
        <v>1</v>
      </c>
      <c r="DN24">
        <v>1</v>
      </c>
      <c r="DO24">
        <v>1</v>
      </c>
      <c r="DP24">
        <v>1</v>
      </c>
      <c r="DQ24">
        <v>1</v>
      </c>
      <c r="DR24">
        <v>1</v>
      </c>
      <c r="DS24">
        <v>1</v>
      </c>
      <c r="DT24">
        <v>1</v>
      </c>
      <c r="DU24">
        <v>1</v>
      </c>
      <c r="DV24">
        <v>1</v>
      </c>
      <c r="DW24">
        <v>1</v>
      </c>
      <c r="DX24">
        <v>1</v>
      </c>
      <c r="DY24">
        <v>1</v>
      </c>
      <c r="DZ24">
        <v>1</v>
      </c>
      <c r="EA24">
        <v>1</v>
      </c>
      <c r="EB24">
        <v>1</v>
      </c>
      <c r="EC24">
        <v>1</v>
      </c>
      <c r="ED24">
        <v>1</v>
      </c>
      <c r="EE24">
        <v>1</v>
      </c>
      <c r="EF24">
        <v>1</v>
      </c>
      <c r="EG24">
        <v>1</v>
      </c>
      <c r="EH24">
        <v>1</v>
      </c>
      <c r="EI24">
        <v>1</v>
      </c>
      <c r="EJ24">
        <v>1</v>
      </c>
      <c r="EK24">
        <v>1</v>
      </c>
      <c r="EL24">
        <v>1</v>
      </c>
      <c r="EM24">
        <v>1</v>
      </c>
      <c r="EN24">
        <v>1</v>
      </c>
      <c r="EO24">
        <v>1</v>
      </c>
      <c r="EP24">
        <v>1</v>
      </c>
      <c r="EQ24">
        <v>1</v>
      </c>
      <c r="ER24">
        <v>1</v>
      </c>
    </row>
    <row r="25" spans="1:200" x14ac:dyDescent="0.25">
      <c r="A25" t="s">
        <v>562</v>
      </c>
      <c r="B25" t="s">
        <v>340</v>
      </c>
      <c r="C25" s="3">
        <v>-34.049999999999997</v>
      </c>
      <c r="D25" s="3">
        <v>150.97999999999999</v>
      </c>
      <c r="E25" t="s">
        <v>15</v>
      </c>
      <c r="F25" t="s">
        <v>20</v>
      </c>
      <c r="G25" t="s">
        <v>106</v>
      </c>
      <c r="I25" t="s">
        <v>12</v>
      </c>
      <c r="J25" t="s">
        <v>12</v>
      </c>
      <c r="K25" t="s">
        <v>12</v>
      </c>
      <c r="L25" t="s">
        <v>560</v>
      </c>
      <c r="M25" t="s">
        <v>906</v>
      </c>
      <c r="O25">
        <v>5.35</v>
      </c>
      <c r="P25">
        <v>3.82</v>
      </c>
      <c r="CW25">
        <v>1</v>
      </c>
      <c r="CX25">
        <v>1</v>
      </c>
      <c r="CY25">
        <v>1</v>
      </c>
      <c r="CZ25">
        <v>1</v>
      </c>
      <c r="DA25">
        <v>1</v>
      </c>
      <c r="DB25">
        <v>1</v>
      </c>
      <c r="DC25">
        <v>1</v>
      </c>
      <c r="DD25">
        <v>1</v>
      </c>
      <c r="DE25">
        <v>1</v>
      </c>
      <c r="DF25">
        <v>1</v>
      </c>
      <c r="DG25">
        <v>1</v>
      </c>
      <c r="DH25">
        <v>1</v>
      </c>
      <c r="DI25">
        <v>1</v>
      </c>
      <c r="DJ25">
        <v>1</v>
      </c>
      <c r="DK25">
        <v>1</v>
      </c>
      <c r="DL25">
        <v>1</v>
      </c>
      <c r="DM25">
        <v>1</v>
      </c>
      <c r="DN25">
        <v>1</v>
      </c>
      <c r="DO25">
        <v>1</v>
      </c>
      <c r="DP25">
        <v>1</v>
      </c>
      <c r="DQ25">
        <v>1</v>
      </c>
      <c r="DR25">
        <v>1</v>
      </c>
      <c r="DS25">
        <v>1</v>
      </c>
      <c r="DT25">
        <v>1</v>
      </c>
      <c r="DU25">
        <v>1</v>
      </c>
      <c r="DV25">
        <v>1</v>
      </c>
      <c r="DW25">
        <v>1</v>
      </c>
      <c r="DX25">
        <v>1</v>
      </c>
      <c r="DY25">
        <v>1</v>
      </c>
      <c r="DZ25">
        <v>1</v>
      </c>
      <c r="EA25">
        <v>1</v>
      </c>
      <c r="EB25">
        <v>1</v>
      </c>
      <c r="EC25">
        <v>1</v>
      </c>
      <c r="ED25">
        <v>1</v>
      </c>
      <c r="EE25">
        <v>1</v>
      </c>
      <c r="EF25">
        <v>1</v>
      </c>
      <c r="EG25">
        <v>1</v>
      </c>
      <c r="EH25">
        <v>1</v>
      </c>
      <c r="EI25">
        <v>1</v>
      </c>
      <c r="EJ25">
        <v>1</v>
      </c>
      <c r="EK25">
        <v>1</v>
      </c>
      <c r="EL25">
        <v>1</v>
      </c>
      <c r="EM25">
        <v>1</v>
      </c>
      <c r="EN25">
        <v>1</v>
      </c>
      <c r="EO25">
        <v>1</v>
      </c>
      <c r="EP25">
        <v>1</v>
      </c>
      <c r="EQ25">
        <v>1</v>
      </c>
      <c r="ER25">
        <v>1</v>
      </c>
    </row>
    <row r="26" spans="1:200" x14ac:dyDescent="0.25">
      <c r="A26" t="s">
        <v>339</v>
      </c>
      <c r="B26" t="s">
        <v>340</v>
      </c>
      <c r="C26" s="3">
        <v>-34.24</v>
      </c>
      <c r="D26" s="3">
        <v>116.14</v>
      </c>
      <c r="E26" t="s">
        <v>12</v>
      </c>
      <c r="F26" t="s">
        <v>20</v>
      </c>
      <c r="G26" t="s">
        <v>341</v>
      </c>
      <c r="I26" t="s">
        <v>12</v>
      </c>
      <c r="J26" t="s">
        <v>12</v>
      </c>
      <c r="K26" t="s">
        <v>12</v>
      </c>
      <c r="L26" t="s">
        <v>344</v>
      </c>
      <c r="M26" t="s">
        <v>1029</v>
      </c>
      <c r="O26">
        <v>10.8</v>
      </c>
      <c r="P26">
        <v>4.8</v>
      </c>
      <c r="FH26">
        <v>1</v>
      </c>
      <c r="FI26">
        <v>1</v>
      </c>
    </row>
    <row r="27" spans="1:200" x14ac:dyDescent="0.25">
      <c r="A27" t="s">
        <v>339</v>
      </c>
      <c r="B27" t="s">
        <v>340</v>
      </c>
      <c r="C27" s="3">
        <v>-34.24</v>
      </c>
      <c r="D27" s="3">
        <v>116.14</v>
      </c>
      <c r="E27" t="s">
        <v>12</v>
      </c>
      <c r="F27" t="s">
        <v>20</v>
      </c>
      <c r="G27" t="s">
        <v>341</v>
      </c>
      <c r="I27" t="s">
        <v>12</v>
      </c>
      <c r="J27" t="s">
        <v>12</v>
      </c>
      <c r="K27" t="s">
        <v>12</v>
      </c>
      <c r="L27" t="s">
        <v>344</v>
      </c>
      <c r="M27" t="s">
        <v>1029</v>
      </c>
      <c r="O27">
        <v>9.4</v>
      </c>
      <c r="P27">
        <v>3.4</v>
      </c>
      <c r="FJ27">
        <v>1</v>
      </c>
      <c r="FK27">
        <v>1</v>
      </c>
      <c r="FL27">
        <v>1</v>
      </c>
      <c r="FM27">
        <v>1</v>
      </c>
    </row>
    <row r="28" spans="1:200" x14ac:dyDescent="0.25">
      <c r="A28" t="s">
        <v>339</v>
      </c>
      <c r="B28" t="s">
        <v>340</v>
      </c>
      <c r="C28" s="3">
        <v>-34.24</v>
      </c>
      <c r="D28" s="3">
        <v>116.14</v>
      </c>
      <c r="E28" t="s">
        <v>12</v>
      </c>
      <c r="F28" t="s">
        <v>20</v>
      </c>
      <c r="G28" t="s">
        <v>341</v>
      </c>
      <c r="I28" t="s">
        <v>12</v>
      </c>
      <c r="J28" t="s">
        <v>12</v>
      </c>
      <c r="K28" t="s">
        <v>12</v>
      </c>
      <c r="L28" t="s">
        <v>344</v>
      </c>
      <c r="M28" t="s">
        <v>1029</v>
      </c>
      <c r="O28">
        <v>11.8</v>
      </c>
      <c r="P28">
        <v>5.6</v>
      </c>
      <c r="FN28">
        <v>1</v>
      </c>
      <c r="FO28">
        <v>1</v>
      </c>
      <c r="FP28">
        <v>1</v>
      </c>
      <c r="FQ28">
        <v>1</v>
      </c>
    </row>
    <row r="29" spans="1:200" x14ac:dyDescent="0.25">
      <c r="A29" t="s">
        <v>339</v>
      </c>
      <c r="B29" t="s">
        <v>340</v>
      </c>
      <c r="C29" s="3">
        <v>-34.24</v>
      </c>
      <c r="D29" s="3">
        <v>116.14</v>
      </c>
      <c r="E29" t="s">
        <v>12</v>
      </c>
      <c r="F29" t="s">
        <v>20</v>
      </c>
      <c r="G29" t="s">
        <v>341</v>
      </c>
      <c r="I29" t="s">
        <v>12</v>
      </c>
      <c r="J29" t="s">
        <v>12</v>
      </c>
      <c r="K29" t="s">
        <v>12</v>
      </c>
      <c r="L29" t="s">
        <v>344</v>
      </c>
      <c r="M29" t="s">
        <v>1029</v>
      </c>
      <c r="O29">
        <v>9.1999999999999993</v>
      </c>
      <c r="P29">
        <v>1.4</v>
      </c>
      <c r="FR29">
        <v>1</v>
      </c>
      <c r="FS29">
        <v>1</v>
      </c>
    </row>
    <row r="30" spans="1:200" x14ac:dyDescent="0.25">
      <c r="A30" t="s">
        <v>339</v>
      </c>
      <c r="B30" t="s">
        <v>340</v>
      </c>
      <c r="C30" s="3">
        <v>-34.24</v>
      </c>
      <c r="D30" s="3">
        <v>116.14</v>
      </c>
      <c r="E30" t="s">
        <v>12</v>
      </c>
      <c r="F30" t="s">
        <v>20</v>
      </c>
      <c r="G30" t="s">
        <v>341</v>
      </c>
      <c r="I30" t="s">
        <v>12</v>
      </c>
      <c r="J30" t="s">
        <v>12</v>
      </c>
      <c r="K30" t="s">
        <v>12</v>
      </c>
      <c r="L30" t="s">
        <v>344</v>
      </c>
      <c r="M30" t="s">
        <v>1029</v>
      </c>
      <c r="O30">
        <v>10.5</v>
      </c>
      <c r="P30">
        <v>4</v>
      </c>
      <c r="FT30">
        <v>1</v>
      </c>
    </row>
    <row r="31" spans="1:200" x14ac:dyDescent="0.25">
      <c r="A31" t="s">
        <v>339</v>
      </c>
      <c r="B31" t="s">
        <v>340</v>
      </c>
      <c r="C31" s="3">
        <v>-34.24</v>
      </c>
      <c r="D31" s="3">
        <v>116.14</v>
      </c>
      <c r="E31" t="s">
        <v>12</v>
      </c>
      <c r="F31" t="s">
        <v>20</v>
      </c>
      <c r="G31" t="s">
        <v>341</v>
      </c>
      <c r="I31" t="s">
        <v>12</v>
      </c>
      <c r="J31" t="s">
        <v>12</v>
      </c>
      <c r="K31" t="s">
        <v>12</v>
      </c>
      <c r="L31" t="s">
        <v>344</v>
      </c>
      <c r="M31" t="s">
        <v>1029</v>
      </c>
      <c r="O31">
        <v>11.4</v>
      </c>
      <c r="P31">
        <v>3.4</v>
      </c>
      <c r="FU31">
        <v>1</v>
      </c>
      <c r="FV31">
        <v>1</v>
      </c>
      <c r="FW31">
        <v>1</v>
      </c>
      <c r="FX31">
        <v>1</v>
      </c>
      <c r="FY31">
        <v>1</v>
      </c>
    </row>
    <row r="32" spans="1:200" x14ac:dyDescent="0.25">
      <c r="A32" t="s">
        <v>339</v>
      </c>
      <c r="B32" t="s">
        <v>340</v>
      </c>
      <c r="C32" s="3">
        <v>-34.24</v>
      </c>
      <c r="D32" s="3">
        <v>116.14</v>
      </c>
      <c r="E32" t="s">
        <v>12</v>
      </c>
      <c r="F32" t="s">
        <v>20</v>
      </c>
      <c r="G32" t="s">
        <v>341</v>
      </c>
      <c r="I32" t="s">
        <v>12</v>
      </c>
      <c r="J32" t="s">
        <v>12</v>
      </c>
      <c r="K32" t="s">
        <v>12</v>
      </c>
      <c r="L32" t="s">
        <v>344</v>
      </c>
      <c r="M32" t="s">
        <v>1029</v>
      </c>
      <c r="O32">
        <v>5.9</v>
      </c>
      <c r="P32">
        <v>2.9</v>
      </c>
      <c r="FZ32">
        <v>1</v>
      </c>
      <c r="GA32">
        <v>1</v>
      </c>
      <c r="GB32">
        <v>1</v>
      </c>
    </row>
    <row r="33" spans="1:196" x14ac:dyDescent="0.25">
      <c r="A33" t="s">
        <v>342</v>
      </c>
      <c r="B33" t="s">
        <v>340</v>
      </c>
      <c r="C33" s="3">
        <v>-36.6</v>
      </c>
      <c r="D33" s="3">
        <v>146.75</v>
      </c>
      <c r="E33" t="s">
        <v>12</v>
      </c>
      <c r="F33" t="s">
        <v>20</v>
      </c>
      <c r="G33" t="s">
        <v>341</v>
      </c>
      <c r="I33" t="s">
        <v>12</v>
      </c>
      <c r="J33" t="s">
        <v>12</v>
      </c>
      <c r="K33" t="s">
        <v>12</v>
      </c>
      <c r="L33" t="s">
        <v>344</v>
      </c>
      <c r="M33" t="s">
        <v>1029</v>
      </c>
      <c r="N33" t="s">
        <v>343</v>
      </c>
      <c r="O33">
        <v>17.3</v>
      </c>
      <c r="P33">
        <v>11.1</v>
      </c>
      <c r="FH33">
        <v>1</v>
      </c>
      <c r="FI33">
        <v>1</v>
      </c>
    </row>
    <row r="34" spans="1:196" x14ac:dyDescent="0.25">
      <c r="A34" t="s">
        <v>342</v>
      </c>
      <c r="B34" t="s">
        <v>340</v>
      </c>
      <c r="C34" s="3">
        <v>-36.6</v>
      </c>
      <c r="D34" s="3">
        <v>146.75</v>
      </c>
      <c r="E34" t="s">
        <v>12</v>
      </c>
      <c r="F34" t="s">
        <v>20</v>
      </c>
      <c r="G34" t="s">
        <v>341</v>
      </c>
      <c r="I34" t="s">
        <v>12</v>
      </c>
      <c r="J34" t="s">
        <v>12</v>
      </c>
      <c r="K34" t="s">
        <v>12</v>
      </c>
      <c r="L34" t="s">
        <v>344</v>
      </c>
      <c r="M34" t="s">
        <v>1029</v>
      </c>
      <c r="N34" t="s">
        <v>343</v>
      </c>
      <c r="O34">
        <v>15.9</v>
      </c>
      <c r="P34">
        <v>10.5</v>
      </c>
      <c r="FT34">
        <v>1</v>
      </c>
      <c r="FU34">
        <v>1</v>
      </c>
    </row>
    <row r="35" spans="1:196" x14ac:dyDescent="0.25">
      <c r="A35" t="s">
        <v>342</v>
      </c>
      <c r="B35" t="s">
        <v>340</v>
      </c>
      <c r="C35" s="3">
        <v>-36.6</v>
      </c>
      <c r="D35" s="3">
        <v>146.75</v>
      </c>
      <c r="E35" t="s">
        <v>12</v>
      </c>
      <c r="F35" t="s">
        <v>20</v>
      </c>
      <c r="G35" t="s">
        <v>341</v>
      </c>
      <c r="I35" t="s">
        <v>12</v>
      </c>
      <c r="J35" t="s">
        <v>12</v>
      </c>
      <c r="K35" t="s">
        <v>12</v>
      </c>
      <c r="L35" t="s">
        <v>344</v>
      </c>
      <c r="M35" t="s">
        <v>1029</v>
      </c>
      <c r="N35" t="s">
        <v>343</v>
      </c>
      <c r="O35">
        <v>11.6</v>
      </c>
      <c r="P35">
        <v>3.7</v>
      </c>
      <c r="FP35">
        <v>1</v>
      </c>
      <c r="FQ35">
        <v>1</v>
      </c>
      <c r="FR35">
        <v>1</v>
      </c>
    </row>
    <row r="36" spans="1:196" x14ac:dyDescent="0.25">
      <c r="A36" t="s">
        <v>342</v>
      </c>
      <c r="B36" t="s">
        <v>340</v>
      </c>
      <c r="C36" s="3">
        <v>-36.6</v>
      </c>
      <c r="D36" s="3">
        <v>146.75</v>
      </c>
      <c r="E36" t="s">
        <v>12</v>
      </c>
      <c r="F36" t="s">
        <v>20</v>
      </c>
      <c r="G36" t="s">
        <v>341</v>
      </c>
      <c r="I36" t="s">
        <v>12</v>
      </c>
      <c r="J36" t="s">
        <v>12</v>
      </c>
      <c r="K36" t="s">
        <v>12</v>
      </c>
      <c r="L36" t="s">
        <v>344</v>
      </c>
      <c r="M36" t="s">
        <v>1029</v>
      </c>
      <c r="N36" t="s">
        <v>343</v>
      </c>
      <c r="O36">
        <v>9.6</v>
      </c>
      <c r="P36">
        <v>5.7</v>
      </c>
      <c r="FI36">
        <v>1</v>
      </c>
      <c r="FN36">
        <v>1</v>
      </c>
      <c r="FO36">
        <v>1</v>
      </c>
    </row>
    <row r="37" spans="1:196" x14ac:dyDescent="0.25">
      <c r="A37" t="s">
        <v>342</v>
      </c>
      <c r="B37" t="s">
        <v>340</v>
      </c>
      <c r="C37" s="3">
        <v>-36.6</v>
      </c>
      <c r="D37" s="3">
        <v>146.75</v>
      </c>
      <c r="E37" t="s">
        <v>12</v>
      </c>
      <c r="F37" t="s">
        <v>20</v>
      </c>
      <c r="G37" t="s">
        <v>341</v>
      </c>
      <c r="I37" t="s">
        <v>12</v>
      </c>
      <c r="J37" t="s">
        <v>12</v>
      </c>
      <c r="K37" t="s">
        <v>12</v>
      </c>
      <c r="L37" t="s">
        <v>344</v>
      </c>
      <c r="M37" t="s">
        <v>1029</v>
      </c>
      <c r="N37" t="s">
        <v>343</v>
      </c>
      <c r="O37">
        <v>6.6</v>
      </c>
      <c r="P37">
        <v>1.5</v>
      </c>
      <c r="FJ37">
        <v>1</v>
      </c>
      <c r="FK37">
        <v>1</v>
      </c>
      <c r="FL37">
        <v>1</v>
      </c>
      <c r="FM37">
        <v>1</v>
      </c>
    </row>
    <row r="38" spans="1:196" x14ac:dyDescent="0.25">
      <c r="A38" t="s">
        <v>563</v>
      </c>
      <c r="B38" t="s">
        <v>529</v>
      </c>
      <c r="C38" s="3">
        <v>23.73</v>
      </c>
      <c r="D38" s="3">
        <v>90.4</v>
      </c>
      <c r="E38" t="s">
        <v>15</v>
      </c>
      <c r="F38" t="s">
        <v>21</v>
      </c>
      <c r="G38" t="s">
        <v>106</v>
      </c>
      <c r="I38" t="s">
        <v>12</v>
      </c>
      <c r="J38" t="s">
        <v>12</v>
      </c>
      <c r="K38" t="s">
        <v>12</v>
      </c>
      <c r="L38" t="s">
        <v>560</v>
      </c>
      <c r="M38" t="s">
        <v>906</v>
      </c>
      <c r="O38">
        <v>28.74</v>
      </c>
      <c r="P38">
        <v>18.61</v>
      </c>
      <c r="CW38">
        <v>1</v>
      </c>
      <c r="CX38">
        <v>1</v>
      </c>
      <c r="CY38">
        <v>1</v>
      </c>
      <c r="CZ38">
        <v>1</v>
      </c>
      <c r="DA38">
        <v>1</v>
      </c>
      <c r="DB38">
        <v>1</v>
      </c>
      <c r="DC38">
        <v>1</v>
      </c>
      <c r="DD38">
        <v>1</v>
      </c>
      <c r="DE38">
        <v>1</v>
      </c>
      <c r="DF38">
        <v>1</v>
      </c>
      <c r="DG38">
        <v>1</v>
      </c>
      <c r="DH38">
        <v>1</v>
      </c>
      <c r="DI38">
        <v>1</v>
      </c>
      <c r="DJ38">
        <v>1</v>
      </c>
      <c r="DK38">
        <v>1</v>
      </c>
      <c r="DL38">
        <v>1</v>
      </c>
      <c r="DM38">
        <v>1</v>
      </c>
      <c r="DN38">
        <v>1</v>
      </c>
      <c r="DO38">
        <v>1</v>
      </c>
      <c r="DP38">
        <v>1</v>
      </c>
      <c r="DQ38">
        <v>1</v>
      </c>
      <c r="DR38">
        <v>1</v>
      </c>
      <c r="DS38">
        <v>1</v>
      </c>
      <c r="DT38">
        <v>1</v>
      </c>
      <c r="DU38">
        <v>1</v>
      </c>
      <c r="DV38">
        <v>1</v>
      </c>
      <c r="DW38">
        <v>1</v>
      </c>
      <c r="DX38">
        <v>1</v>
      </c>
      <c r="DY38">
        <v>1</v>
      </c>
      <c r="DZ38">
        <v>1</v>
      </c>
      <c r="EA38">
        <v>1</v>
      </c>
      <c r="EB38">
        <v>1</v>
      </c>
      <c r="EC38">
        <v>1</v>
      </c>
      <c r="ED38">
        <v>1</v>
      </c>
      <c r="EE38">
        <v>1</v>
      </c>
      <c r="EF38">
        <v>1</v>
      </c>
    </row>
    <row r="39" spans="1:196" x14ac:dyDescent="0.25">
      <c r="A39" t="s">
        <v>323</v>
      </c>
      <c r="B39" t="s">
        <v>529</v>
      </c>
      <c r="C39" s="3">
        <v>23.77</v>
      </c>
      <c r="D39" s="3">
        <v>90.38</v>
      </c>
      <c r="E39" t="s">
        <v>15</v>
      </c>
      <c r="F39" t="s">
        <v>21</v>
      </c>
      <c r="G39" s="5" t="s">
        <v>701</v>
      </c>
      <c r="I39" t="s">
        <v>15</v>
      </c>
      <c r="J39" t="s">
        <v>12</v>
      </c>
      <c r="K39" t="s">
        <v>15</v>
      </c>
      <c r="L39" t="s">
        <v>749</v>
      </c>
      <c r="M39" t="s">
        <v>807</v>
      </c>
      <c r="O39">
        <v>22.25</v>
      </c>
      <c r="P39">
        <v>15.41</v>
      </c>
      <c r="CP39">
        <v>1</v>
      </c>
      <c r="CQ39">
        <v>1</v>
      </c>
      <c r="CR39">
        <v>1</v>
      </c>
      <c r="CS39">
        <v>1</v>
      </c>
      <c r="CT39">
        <v>1</v>
      </c>
      <c r="CU39">
        <v>1</v>
      </c>
      <c r="CV39">
        <v>1</v>
      </c>
      <c r="CW39">
        <v>1</v>
      </c>
      <c r="CX39">
        <v>1</v>
      </c>
      <c r="CY39">
        <v>1</v>
      </c>
      <c r="CZ39">
        <v>1</v>
      </c>
      <c r="DA39">
        <v>1</v>
      </c>
      <c r="DB39">
        <v>1</v>
      </c>
    </row>
    <row r="40" spans="1:196" x14ac:dyDescent="0.25">
      <c r="A40" t="s">
        <v>323</v>
      </c>
      <c r="B40" t="s">
        <v>529</v>
      </c>
      <c r="C40">
        <v>23.72</v>
      </c>
      <c r="D40">
        <v>90.39</v>
      </c>
      <c r="E40" t="s">
        <v>12</v>
      </c>
      <c r="F40" t="s">
        <v>21</v>
      </c>
      <c r="G40" t="s">
        <v>701</v>
      </c>
      <c r="I40" t="s">
        <v>15</v>
      </c>
      <c r="J40" t="s">
        <v>12</v>
      </c>
      <c r="K40" t="s">
        <v>15</v>
      </c>
      <c r="L40" t="s">
        <v>750</v>
      </c>
      <c r="M40" t="s">
        <v>808</v>
      </c>
      <c r="O40">
        <v>22.1</v>
      </c>
      <c r="P40">
        <v>7.9</v>
      </c>
      <c r="CK40">
        <v>1</v>
      </c>
      <c r="CL40">
        <v>1</v>
      </c>
      <c r="CM40">
        <v>1</v>
      </c>
      <c r="CN40">
        <v>1</v>
      </c>
      <c r="CO40">
        <v>1</v>
      </c>
      <c r="CP40">
        <v>1</v>
      </c>
      <c r="CQ40">
        <v>1</v>
      </c>
      <c r="CR40">
        <v>1</v>
      </c>
      <c r="CS40">
        <v>1</v>
      </c>
      <c r="CT40">
        <v>1</v>
      </c>
      <c r="CU40">
        <v>1</v>
      </c>
      <c r="CV40">
        <v>1</v>
      </c>
      <c r="CW40">
        <v>1</v>
      </c>
      <c r="CX40">
        <v>1</v>
      </c>
      <c r="CY40">
        <v>1</v>
      </c>
      <c r="CZ40">
        <v>1</v>
      </c>
      <c r="DA40">
        <v>1</v>
      </c>
      <c r="DB40">
        <v>1</v>
      </c>
      <c r="DC40">
        <v>1</v>
      </c>
      <c r="DD40">
        <v>1</v>
      </c>
      <c r="DE40">
        <v>1</v>
      </c>
      <c r="DF40">
        <v>1</v>
      </c>
      <c r="DG40">
        <v>1</v>
      </c>
      <c r="DH40">
        <v>1</v>
      </c>
    </row>
    <row r="41" spans="1:196" x14ac:dyDescent="0.25">
      <c r="A41" t="s">
        <v>323</v>
      </c>
      <c r="B41" t="s">
        <v>529</v>
      </c>
      <c r="C41">
        <v>23.72</v>
      </c>
      <c r="D41">
        <v>90.39</v>
      </c>
      <c r="E41" t="s">
        <v>12</v>
      </c>
      <c r="F41" t="s">
        <v>21</v>
      </c>
      <c r="G41" t="s">
        <v>701</v>
      </c>
      <c r="I41" t="s">
        <v>15</v>
      </c>
      <c r="J41" t="s">
        <v>12</v>
      </c>
      <c r="K41" t="s">
        <v>15</v>
      </c>
      <c r="L41" t="s">
        <v>750</v>
      </c>
      <c r="M41" t="s">
        <v>808</v>
      </c>
      <c r="O41">
        <v>30.5</v>
      </c>
      <c r="P41">
        <v>30.5</v>
      </c>
      <c r="EG41">
        <v>1</v>
      </c>
      <c r="EH41">
        <v>1</v>
      </c>
      <c r="EI41">
        <v>1</v>
      </c>
      <c r="EJ41">
        <v>1</v>
      </c>
      <c r="EK41">
        <v>1</v>
      </c>
      <c r="EL41">
        <v>1</v>
      </c>
      <c r="EM41">
        <v>1</v>
      </c>
      <c r="EN41">
        <v>1</v>
      </c>
      <c r="EO41">
        <v>1</v>
      </c>
      <c r="EP41">
        <v>1</v>
      </c>
      <c r="EQ41">
        <v>1</v>
      </c>
      <c r="ER41">
        <v>1</v>
      </c>
      <c r="ES41">
        <v>1</v>
      </c>
      <c r="ET41">
        <v>1</v>
      </c>
      <c r="EU41">
        <v>1</v>
      </c>
      <c r="EV41">
        <v>1</v>
      </c>
      <c r="EW41">
        <v>1</v>
      </c>
      <c r="EX41">
        <v>1</v>
      </c>
      <c r="EY41">
        <v>1</v>
      </c>
      <c r="EZ41">
        <v>1</v>
      </c>
      <c r="FA41">
        <v>1</v>
      </c>
      <c r="FB41">
        <v>1</v>
      </c>
      <c r="FC41">
        <v>1</v>
      </c>
      <c r="FD41">
        <v>1</v>
      </c>
    </row>
    <row r="42" spans="1:196" x14ac:dyDescent="0.25">
      <c r="A42" t="s">
        <v>323</v>
      </c>
      <c r="B42" t="s">
        <v>529</v>
      </c>
      <c r="C42">
        <v>23.72</v>
      </c>
      <c r="D42">
        <v>90.39</v>
      </c>
      <c r="E42" t="s">
        <v>12</v>
      </c>
      <c r="F42" t="s">
        <v>21</v>
      </c>
      <c r="G42" t="s">
        <v>701</v>
      </c>
      <c r="I42" t="s">
        <v>15</v>
      </c>
      <c r="J42" t="s">
        <v>12</v>
      </c>
      <c r="K42" t="s">
        <v>15</v>
      </c>
      <c r="L42" t="s">
        <v>750</v>
      </c>
      <c r="M42" t="s">
        <v>808</v>
      </c>
      <c r="O42">
        <v>37.299999999999997</v>
      </c>
      <c r="P42">
        <v>37.299999999999997</v>
      </c>
      <c r="FE42">
        <v>1</v>
      </c>
      <c r="FF42">
        <v>1</v>
      </c>
      <c r="FG42">
        <v>1</v>
      </c>
      <c r="FH42">
        <v>1</v>
      </c>
      <c r="FI42">
        <v>1</v>
      </c>
      <c r="FJ42">
        <v>1</v>
      </c>
      <c r="FK42">
        <v>1</v>
      </c>
      <c r="FL42">
        <v>1</v>
      </c>
      <c r="FM42">
        <v>1</v>
      </c>
      <c r="FN42">
        <v>1</v>
      </c>
      <c r="FO42">
        <v>1</v>
      </c>
      <c r="FP42">
        <v>1</v>
      </c>
      <c r="FQ42">
        <v>1</v>
      </c>
      <c r="FR42">
        <v>1</v>
      </c>
      <c r="FS42">
        <v>1</v>
      </c>
      <c r="FT42">
        <v>1</v>
      </c>
      <c r="FU42">
        <v>1</v>
      </c>
      <c r="FV42">
        <v>1</v>
      </c>
      <c r="FW42">
        <v>1</v>
      </c>
      <c r="FX42">
        <v>1</v>
      </c>
      <c r="FY42">
        <v>1</v>
      </c>
      <c r="FZ42">
        <v>1</v>
      </c>
      <c r="GA42">
        <v>1</v>
      </c>
      <c r="GB42">
        <v>1</v>
      </c>
      <c r="GC42">
        <v>1</v>
      </c>
      <c r="GD42">
        <v>1</v>
      </c>
      <c r="GE42">
        <v>1</v>
      </c>
      <c r="GF42">
        <v>1</v>
      </c>
      <c r="GG42">
        <v>1</v>
      </c>
      <c r="GH42">
        <v>1</v>
      </c>
      <c r="GI42">
        <v>1</v>
      </c>
      <c r="GJ42">
        <v>1</v>
      </c>
      <c r="GK42">
        <v>1</v>
      </c>
      <c r="GL42">
        <v>1</v>
      </c>
      <c r="GM42">
        <v>1</v>
      </c>
      <c r="GN42">
        <v>1</v>
      </c>
    </row>
    <row r="43" spans="1:196" x14ac:dyDescent="0.25">
      <c r="A43" t="s">
        <v>323</v>
      </c>
      <c r="B43" t="s">
        <v>529</v>
      </c>
      <c r="C43">
        <v>23.72</v>
      </c>
      <c r="D43">
        <v>90.39</v>
      </c>
      <c r="E43" t="s">
        <v>12</v>
      </c>
      <c r="F43" t="s">
        <v>21</v>
      </c>
      <c r="G43" t="s">
        <v>701</v>
      </c>
      <c r="I43" t="s">
        <v>15</v>
      </c>
      <c r="J43" t="s">
        <v>12</v>
      </c>
      <c r="K43" t="s">
        <v>15</v>
      </c>
      <c r="L43" t="s">
        <v>750</v>
      </c>
      <c r="M43" t="s">
        <v>808</v>
      </c>
      <c r="N43" t="s">
        <v>784</v>
      </c>
      <c r="O43">
        <v>45</v>
      </c>
      <c r="AO43">
        <v>1</v>
      </c>
      <c r="AP43">
        <v>1</v>
      </c>
      <c r="AQ43">
        <v>1</v>
      </c>
      <c r="AR43">
        <v>1</v>
      </c>
      <c r="AS43">
        <v>1</v>
      </c>
      <c r="AT43">
        <v>1</v>
      </c>
      <c r="AU43">
        <v>1</v>
      </c>
      <c r="AV43">
        <v>1</v>
      </c>
      <c r="AW43">
        <v>1</v>
      </c>
      <c r="AX43">
        <v>1</v>
      </c>
      <c r="AY43">
        <v>1</v>
      </c>
      <c r="AZ43">
        <v>1</v>
      </c>
    </row>
    <row r="44" spans="1:196" x14ac:dyDescent="0.25">
      <c r="A44" t="s">
        <v>323</v>
      </c>
      <c r="B44" t="s">
        <v>529</v>
      </c>
      <c r="C44">
        <v>23.72</v>
      </c>
      <c r="D44">
        <v>90.39</v>
      </c>
      <c r="E44" t="s">
        <v>12</v>
      </c>
      <c r="F44" t="s">
        <v>21</v>
      </c>
      <c r="G44" t="s">
        <v>701</v>
      </c>
      <c r="I44" t="s">
        <v>15</v>
      </c>
      <c r="J44" t="s">
        <v>12</v>
      </c>
      <c r="K44" t="s">
        <v>15</v>
      </c>
      <c r="L44" t="s">
        <v>750</v>
      </c>
      <c r="M44" t="s">
        <v>808</v>
      </c>
      <c r="N44" t="s">
        <v>784</v>
      </c>
      <c r="O44">
        <v>54</v>
      </c>
      <c r="BA44">
        <v>1</v>
      </c>
      <c r="BB44">
        <v>1</v>
      </c>
      <c r="BC44">
        <v>1</v>
      </c>
      <c r="BD44">
        <v>1</v>
      </c>
      <c r="BE44">
        <v>1</v>
      </c>
      <c r="BF44">
        <v>1</v>
      </c>
      <c r="BG44">
        <v>1</v>
      </c>
      <c r="BH44">
        <v>1</v>
      </c>
      <c r="BI44">
        <v>1</v>
      </c>
      <c r="BJ44">
        <v>1</v>
      </c>
      <c r="BK44">
        <v>1</v>
      </c>
      <c r="BL44">
        <v>1</v>
      </c>
    </row>
    <row r="45" spans="1:196" x14ac:dyDescent="0.25">
      <c r="A45" t="s">
        <v>323</v>
      </c>
      <c r="B45" t="s">
        <v>529</v>
      </c>
      <c r="C45">
        <v>23.72</v>
      </c>
      <c r="D45">
        <v>90.39</v>
      </c>
      <c r="E45" t="s">
        <v>12</v>
      </c>
      <c r="F45" t="s">
        <v>21</v>
      </c>
      <c r="G45" t="s">
        <v>701</v>
      </c>
      <c r="I45" t="s">
        <v>15</v>
      </c>
      <c r="J45" t="s">
        <v>12</v>
      </c>
      <c r="K45" t="s">
        <v>15</v>
      </c>
      <c r="L45" t="s">
        <v>750</v>
      </c>
      <c r="M45" t="s">
        <v>808</v>
      </c>
      <c r="N45" t="s">
        <v>784</v>
      </c>
      <c r="O45">
        <v>64</v>
      </c>
      <c r="BM45">
        <v>1</v>
      </c>
      <c r="BN45">
        <v>1</v>
      </c>
      <c r="BO45">
        <v>1</v>
      </c>
      <c r="BP45">
        <v>1</v>
      </c>
      <c r="BQ45">
        <v>1</v>
      </c>
      <c r="BR45">
        <v>1</v>
      </c>
      <c r="BS45">
        <v>1</v>
      </c>
      <c r="BT45">
        <v>1</v>
      </c>
      <c r="BU45">
        <v>1</v>
      </c>
      <c r="BV45">
        <v>1</v>
      </c>
      <c r="BW45">
        <v>1</v>
      </c>
      <c r="BX45">
        <v>1</v>
      </c>
    </row>
    <row r="46" spans="1:196" x14ac:dyDescent="0.25">
      <c r="A46" t="s">
        <v>323</v>
      </c>
      <c r="B46" t="s">
        <v>529</v>
      </c>
      <c r="C46">
        <v>23.72</v>
      </c>
      <c r="D46">
        <v>90.39</v>
      </c>
      <c r="E46" t="s">
        <v>12</v>
      </c>
      <c r="F46" t="s">
        <v>21</v>
      </c>
      <c r="G46" t="s">
        <v>701</v>
      </c>
      <c r="I46" t="s">
        <v>15</v>
      </c>
      <c r="J46" t="s">
        <v>12</v>
      </c>
      <c r="K46" t="s">
        <v>15</v>
      </c>
      <c r="L46" t="s">
        <v>750</v>
      </c>
      <c r="M46" t="s">
        <v>808</v>
      </c>
      <c r="N46" t="s">
        <v>784</v>
      </c>
      <c r="O46">
        <v>47</v>
      </c>
      <c r="P46" s="5"/>
      <c r="BY46">
        <v>1</v>
      </c>
      <c r="BZ46">
        <v>1</v>
      </c>
      <c r="CA46">
        <v>1</v>
      </c>
      <c r="CB46">
        <v>1</v>
      </c>
      <c r="CC46">
        <v>1</v>
      </c>
      <c r="CD46">
        <v>1</v>
      </c>
      <c r="CE46">
        <v>1</v>
      </c>
      <c r="CF46">
        <v>1</v>
      </c>
      <c r="CG46">
        <v>1</v>
      </c>
      <c r="CH46">
        <v>1</v>
      </c>
      <c r="CI46">
        <v>1</v>
      </c>
      <c r="CJ46">
        <v>1</v>
      </c>
    </row>
    <row r="47" spans="1:196" x14ac:dyDescent="0.25">
      <c r="A47" t="s">
        <v>323</v>
      </c>
      <c r="B47" t="s">
        <v>529</v>
      </c>
      <c r="C47">
        <v>23.72</v>
      </c>
      <c r="D47">
        <v>90.39</v>
      </c>
      <c r="E47" t="s">
        <v>12</v>
      </c>
      <c r="F47" t="s">
        <v>21</v>
      </c>
      <c r="G47" t="s">
        <v>701</v>
      </c>
      <c r="I47" t="s">
        <v>15</v>
      </c>
      <c r="J47" t="s">
        <v>12</v>
      </c>
      <c r="K47" t="s">
        <v>15</v>
      </c>
      <c r="L47" t="s">
        <v>750</v>
      </c>
      <c r="M47" t="s">
        <v>808</v>
      </c>
      <c r="N47" t="s">
        <v>784</v>
      </c>
      <c r="O47">
        <v>31</v>
      </c>
      <c r="P47" s="5"/>
      <c r="CK47">
        <v>1</v>
      </c>
      <c r="CL47">
        <v>1</v>
      </c>
      <c r="CM47">
        <v>1</v>
      </c>
      <c r="CN47">
        <v>1</v>
      </c>
      <c r="CO47">
        <v>1</v>
      </c>
      <c r="CP47">
        <v>1</v>
      </c>
      <c r="CQ47">
        <v>1</v>
      </c>
      <c r="CR47">
        <v>1</v>
      </c>
      <c r="CS47">
        <v>1</v>
      </c>
      <c r="CT47">
        <v>1</v>
      </c>
      <c r="CU47">
        <v>1</v>
      </c>
      <c r="CV47">
        <v>1</v>
      </c>
    </row>
    <row r="48" spans="1:196" x14ac:dyDescent="0.25">
      <c r="A48" t="s">
        <v>323</v>
      </c>
      <c r="B48" t="s">
        <v>529</v>
      </c>
      <c r="C48">
        <v>23.72</v>
      </c>
      <c r="D48">
        <v>90.39</v>
      </c>
      <c r="E48" t="s">
        <v>12</v>
      </c>
      <c r="F48" t="s">
        <v>21</v>
      </c>
      <c r="G48" t="s">
        <v>701</v>
      </c>
      <c r="I48" t="s">
        <v>15</v>
      </c>
      <c r="J48" t="s">
        <v>12</v>
      </c>
      <c r="K48" t="s">
        <v>15</v>
      </c>
      <c r="L48" t="s">
        <v>750</v>
      </c>
      <c r="M48" t="s">
        <v>808</v>
      </c>
      <c r="N48" t="s">
        <v>784</v>
      </c>
      <c r="O48">
        <v>27</v>
      </c>
      <c r="P48" s="5"/>
      <c r="CW48">
        <v>1</v>
      </c>
      <c r="CX48">
        <v>1</v>
      </c>
      <c r="CY48">
        <v>1</v>
      </c>
      <c r="CZ48">
        <v>1</v>
      </c>
      <c r="DA48">
        <v>1</v>
      </c>
      <c r="DB48">
        <v>1</v>
      </c>
      <c r="DC48">
        <v>1</v>
      </c>
      <c r="DD48">
        <v>1</v>
      </c>
      <c r="DE48">
        <v>1</v>
      </c>
      <c r="DF48">
        <v>1</v>
      </c>
      <c r="DG48">
        <v>1</v>
      </c>
      <c r="DH48">
        <v>1</v>
      </c>
    </row>
    <row r="49" spans="1:220" x14ac:dyDescent="0.25">
      <c r="A49" t="s">
        <v>323</v>
      </c>
      <c r="B49" t="s">
        <v>529</v>
      </c>
      <c r="C49">
        <v>23.72</v>
      </c>
      <c r="D49">
        <v>90.39</v>
      </c>
      <c r="E49" t="s">
        <v>12</v>
      </c>
      <c r="F49" t="s">
        <v>21</v>
      </c>
      <c r="G49" t="s">
        <v>701</v>
      </c>
      <c r="I49" t="s">
        <v>15</v>
      </c>
      <c r="J49" t="s">
        <v>12</v>
      </c>
      <c r="K49" t="s">
        <v>15</v>
      </c>
      <c r="L49" t="s">
        <v>750</v>
      </c>
      <c r="M49" t="s">
        <v>808</v>
      </c>
      <c r="N49" t="s">
        <v>784</v>
      </c>
      <c r="O49">
        <v>33</v>
      </c>
      <c r="P49" s="5"/>
      <c r="DI49">
        <v>1</v>
      </c>
      <c r="DJ49">
        <v>1</v>
      </c>
      <c r="DK49">
        <v>1</v>
      </c>
      <c r="DL49">
        <v>1</v>
      </c>
      <c r="DM49">
        <v>1</v>
      </c>
      <c r="DN49">
        <v>1</v>
      </c>
      <c r="DO49">
        <v>1</v>
      </c>
      <c r="DP49">
        <v>1</v>
      </c>
      <c r="DQ49">
        <v>1</v>
      </c>
      <c r="DR49">
        <v>1</v>
      </c>
      <c r="DS49">
        <v>1</v>
      </c>
      <c r="DT49">
        <v>1</v>
      </c>
    </row>
    <row r="50" spans="1:220" x14ac:dyDescent="0.25">
      <c r="A50" t="s">
        <v>323</v>
      </c>
      <c r="B50" t="s">
        <v>529</v>
      </c>
      <c r="C50">
        <v>23.72</v>
      </c>
      <c r="D50">
        <v>90.39</v>
      </c>
      <c r="E50" t="s">
        <v>12</v>
      </c>
      <c r="F50" t="s">
        <v>21</v>
      </c>
      <c r="G50" t="s">
        <v>701</v>
      </c>
      <c r="I50" t="s">
        <v>15</v>
      </c>
      <c r="J50" t="s">
        <v>12</v>
      </c>
      <c r="K50" t="s">
        <v>15</v>
      </c>
      <c r="L50" t="s">
        <v>750</v>
      </c>
      <c r="M50" t="s">
        <v>808</v>
      </c>
      <c r="N50" t="s">
        <v>784</v>
      </c>
      <c r="O50">
        <v>24</v>
      </c>
      <c r="P50" s="5"/>
      <c r="DU50">
        <v>1</v>
      </c>
      <c r="DV50">
        <v>1</v>
      </c>
      <c r="DW50">
        <v>1</v>
      </c>
      <c r="DX50">
        <v>1</v>
      </c>
      <c r="DY50">
        <v>1</v>
      </c>
      <c r="DZ50">
        <v>1</v>
      </c>
      <c r="EA50">
        <v>1</v>
      </c>
      <c r="EB50">
        <v>1</v>
      </c>
      <c r="EC50">
        <v>1</v>
      </c>
      <c r="ED50">
        <v>1</v>
      </c>
      <c r="EE50">
        <v>1</v>
      </c>
      <c r="EF50">
        <v>1</v>
      </c>
    </row>
    <row r="51" spans="1:220" x14ac:dyDescent="0.25">
      <c r="A51" t="s">
        <v>323</v>
      </c>
      <c r="B51" t="s">
        <v>529</v>
      </c>
      <c r="C51">
        <v>23.72</v>
      </c>
      <c r="D51">
        <v>90.39</v>
      </c>
      <c r="E51" t="s">
        <v>12</v>
      </c>
      <c r="F51" t="s">
        <v>21</v>
      </c>
      <c r="G51" t="s">
        <v>701</v>
      </c>
      <c r="I51" t="s">
        <v>15</v>
      </c>
      <c r="J51" t="s">
        <v>12</v>
      </c>
      <c r="K51" t="s">
        <v>15</v>
      </c>
      <c r="L51" t="s">
        <v>750</v>
      </c>
      <c r="M51" t="s">
        <v>808</v>
      </c>
      <c r="N51" t="s">
        <v>784</v>
      </c>
      <c r="O51">
        <v>30</v>
      </c>
      <c r="P51" s="5"/>
      <c r="EG51">
        <v>1</v>
      </c>
      <c r="EH51">
        <v>1</v>
      </c>
      <c r="EI51">
        <v>1</v>
      </c>
      <c r="EJ51">
        <v>1</v>
      </c>
      <c r="EK51">
        <v>1</v>
      </c>
      <c r="EL51">
        <v>1</v>
      </c>
      <c r="EM51">
        <v>1</v>
      </c>
      <c r="EN51">
        <v>1</v>
      </c>
      <c r="EO51">
        <v>1</v>
      </c>
      <c r="EP51">
        <v>1</v>
      </c>
      <c r="EQ51">
        <v>1</v>
      </c>
      <c r="ER51">
        <v>1</v>
      </c>
    </row>
    <row r="52" spans="1:220" x14ac:dyDescent="0.25">
      <c r="A52" t="s">
        <v>323</v>
      </c>
      <c r="B52" t="s">
        <v>529</v>
      </c>
      <c r="C52">
        <v>23.72</v>
      </c>
      <c r="D52">
        <v>90.39</v>
      </c>
      <c r="E52" t="s">
        <v>12</v>
      </c>
      <c r="F52" t="s">
        <v>21</v>
      </c>
      <c r="G52" t="s">
        <v>701</v>
      </c>
      <c r="I52" t="s">
        <v>15</v>
      </c>
      <c r="J52" t="s">
        <v>12</v>
      </c>
      <c r="K52" t="s">
        <v>15</v>
      </c>
      <c r="L52" t="s">
        <v>750</v>
      </c>
      <c r="M52" t="s">
        <v>808</v>
      </c>
      <c r="N52" t="s">
        <v>784</v>
      </c>
      <c r="O52">
        <v>35</v>
      </c>
      <c r="P52" s="5"/>
      <c r="ES52">
        <v>1</v>
      </c>
      <c r="ET52">
        <v>1</v>
      </c>
      <c r="EU52">
        <v>1</v>
      </c>
      <c r="EV52">
        <v>1</v>
      </c>
      <c r="EW52">
        <v>1</v>
      </c>
      <c r="EX52">
        <v>1</v>
      </c>
      <c r="EY52">
        <v>1</v>
      </c>
      <c r="EZ52">
        <v>1</v>
      </c>
      <c r="FA52">
        <v>1</v>
      </c>
      <c r="FB52">
        <v>1</v>
      </c>
      <c r="FC52">
        <v>1</v>
      </c>
      <c r="FD52">
        <v>1</v>
      </c>
    </row>
    <row r="53" spans="1:220" x14ac:dyDescent="0.25">
      <c r="A53" t="s">
        <v>323</v>
      </c>
      <c r="B53" t="s">
        <v>529</v>
      </c>
      <c r="C53">
        <v>23.72</v>
      </c>
      <c r="D53">
        <v>90.39</v>
      </c>
      <c r="E53" t="s">
        <v>12</v>
      </c>
      <c r="F53" t="s">
        <v>21</v>
      </c>
      <c r="G53" t="s">
        <v>701</v>
      </c>
      <c r="I53" t="s">
        <v>15</v>
      </c>
      <c r="J53" t="s">
        <v>12</v>
      </c>
      <c r="K53" t="s">
        <v>15</v>
      </c>
      <c r="L53" t="s">
        <v>750</v>
      </c>
      <c r="M53" t="s">
        <v>808</v>
      </c>
      <c r="N53" t="s">
        <v>784</v>
      </c>
      <c r="O53">
        <v>32</v>
      </c>
      <c r="P53" s="5"/>
      <c r="FE53">
        <v>1</v>
      </c>
      <c r="FF53">
        <v>1</v>
      </c>
      <c r="FG53">
        <v>1</v>
      </c>
      <c r="FH53">
        <v>1</v>
      </c>
      <c r="FI53">
        <v>1</v>
      </c>
      <c r="FJ53">
        <v>1</v>
      </c>
      <c r="FK53">
        <v>1</v>
      </c>
      <c r="FL53">
        <v>1</v>
      </c>
      <c r="FM53">
        <v>1</v>
      </c>
      <c r="FN53">
        <v>1</v>
      </c>
      <c r="FO53">
        <v>1</v>
      </c>
      <c r="FP53">
        <v>1</v>
      </c>
    </row>
    <row r="54" spans="1:220" x14ac:dyDescent="0.25">
      <c r="A54" t="s">
        <v>323</v>
      </c>
      <c r="B54" t="s">
        <v>529</v>
      </c>
      <c r="C54">
        <v>23.72</v>
      </c>
      <c r="D54">
        <v>90.39</v>
      </c>
      <c r="E54" t="s">
        <v>12</v>
      </c>
      <c r="F54" t="s">
        <v>21</v>
      </c>
      <c r="G54" t="s">
        <v>701</v>
      </c>
      <c r="I54" t="s">
        <v>15</v>
      </c>
      <c r="J54" t="s">
        <v>12</v>
      </c>
      <c r="K54" t="s">
        <v>15</v>
      </c>
      <c r="L54" t="s">
        <v>750</v>
      </c>
      <c r="M54" t="s">
        <v>808</v>
      </c>
      <c r="N54" t="s">
        <v>784</v>
      </c>
      <c r="O54">
        <v>38</v>
      </c>
      <c r="P54" s="5"/>
      <c r="FQ54">
        <v>1</v>
      </c>
      <c r="FR54">
        <v>1</v>
      </c>
      <c r="FS54">
        <v>1</v>
      </c>
      <c r="FT54">
        <v>1</v>
      </c>
      <c r="FU54">
        <v>1</v>
      </c>
      <c r="FV54">
        <v>1</v>
      </c>
      <c r="FW54">
        <v>1</v>
      </c>
      <c r="FX54">
        <v>1</v>
      </c>
      <c r="FY54">
        <v>1</v>
      </c>
      <c r="FZ54">
        <v>1</v>
      </c>
      <c r="GA54">
        <v>1</v>
      </c>
      <c r="GB54">
        <v>1</v>
      </c>
    </row>
    <row r="55" spans="1:220" x14ac:dyDescent="0.25">
      <c r="A55" t="s">
        <v>323</v>
      </c>
      <c r="B55" t="s">
        <v>529</v>
      </c>
      <c r="C55">
        <v>23.72</v>
      </c>
      <c r="D55">
        <v>90.39</v>
      </c>
      <c r="E55" t="s">
        <v>12</v>
      </c>
      <c r="F55" t="s">
        <v>21</v>
      </c>
      <c r="G55" t="s">
        <v>701</v>
      </c>
      <c r="I55" t="s">
        <v>15</v>
      </c>
      <c r="J55" t="s">
        <v>12</v>
      </c>
      <c r="K55" t="s">
        <v>15</v>
      </c>
      <c r="L55" t="s">
        <v>750</v>
      </c>
      <c r="M55" t="s">
        <v>808</v>
      </c>
      <c r="N55" t="s">
        <v>784</v>
      </c>
      <c r="O55">
        <v>39</v>
      </c>
      <c r="P55" s="5"/>
      <c r="GC55">
        <v>1</v>
      </c>
      <c r="GD55">
        <v>1</v>
      </c>
      <c r="GE55">
        <v>1</v>
      </c>
      <c r="GF55">
        <v>1</v>
      </c>
      <c r="GG55">
        <v>1</v>
      </c>
      <c r="GH55">
        <v>1</v>
      </c>
      <c r="GI55">
        <v>1</v>
      </c>
      <c r="GJ55">
        <v>1</v>
      </c>
      <c r="GK55">
        <v>1</v>
      </c>
      <c r="GL55">
        <v>1</v>
      </c>
      <c r="GM55">
        <v>1</v>
      </c>
      <c r="GN55">
        <v>1</v>
      </c>
    </row>
    <row r="56" spans="1:220" x14ac:dyDescent="0.25">
      <c r="A56" t="s">
        <v>323</v>
      </c>
      <c r="B56" t="s">
        <v>529</v>
      </c>
      <c r="C56">
        <v>23.72</v>
      </c>
      <c r="D56">
        <v>90.39</v>
      </c>
      <c r="E56" t="s">
        <v>12</v>
      </c>
      <c r="F56" t="s">
        <v>21</v>
      </c>
      <c r="G56" t="s">
        <v>701</v>
      </c>
      <c r="I56" t="s">
        <v>15</v>
      </c>
      <c r="J56" t="s">
        <v>12</v>
      </c>
      <c r="K56" t="s">
        <v>15</v>
      </c>
      <c r="L56" t="s">
        <v>750</v>
      </c>
      <c r="M56" t="s">
        <v>808</v>
      </c>
      <c r="N56" t="s">
        <v>784</v>
      </c>
      <c r="O56">
        <v>36</v>
      </c>
      <c r="P56" s="5"/>
      <c r="GO56">
        <v>1</v>
      </c>
      <c r="GP56">
        <v>1</v>
      </c>
      <c r="GQ56">
        <v>1</v>
      </c>
      <c r="GR56">
        <v>1</v>
      </c>
      <c r="GS56">
        <v>1</v>
      </c>
      <c r="GT56">
        <v>1</v>
      </c>
      <c r="GU56">
        <v>1</v>
      </c>
      <c r="GV56">
        <v>1</v>
      </c>
      <c r="GW56">
        <v>1</v>
      </c>
      <c r="GX56">
        <v>1</v>
      </c>
      <c r="GY56">
        <v>1</v>
      </c>
      <c r="GZ56">
        <v>1</v>
      </c>
    </row>
    <row r="57" spans="1:220" x14ac:dyDescent="0.25">
      <c r="A57" t="s">
        <v>323</v>
      </c>
      <c r="B57" t="s">
        <v>529</v>
      </c>
      <c r="C57">
        <v>23.72</v>
      </c>
      <c r="D57">
        <v>90.39</v>
      </c>
      <c r="E57" t="s">
        <v>12</v>
      </c>
      <c r="F57" t="s">
        <v>21</v>
      </c>
      <c r="G57" t="s">
        <v>701</v>
      </c>
      <c r="I57" t="s">
        <v>15</v>
      </c>
      <c r="J57" t="s">
        <v>12</v>
      </c>
      <c r="K57" t="s">
        <v>15</v>
      </c>
      <c r="L57" t="s">
        <v>750</v>
      </c>
      <c r="M57" t="s">
        <v>808</v>
      </c>
      <c r="N57" t="s">
        <v>784</v>
      </c>
      <c r="O57">
        <v>36</v>
      </c>
      <c r="P57" s="5"/>
      <c r="HA57">
        <v>1</v>
      </c>
      <c r="HB57">
        <v>1</v>
      </c>
      <c r="HC57">
        <v>1</v>
      </c>
      <c r="HD57">
        <v>1</v>
      </c>
      <c r="HE57">
        <v>1</v>
      </c>
      <c r="HF57">
        <v>1</v>
      </c>
      <c r="HG57">
        <v>1</v>
      </c>
      <c r="HH57">
        <v>1</v>
      </c>
      <c r="HI57">
        <v>1</v>
      </c>
      <c r="HJ57">
        <v>1</v>
      </c>
      <c r="HK57">
        <v>1</v>
      </c>
      <c r="HL57">
        <v>1</v>
      </c>
    </row>
    <row r="58" spans="1:220" x14ac:dyDescent="0.25">
      <c r="A58" t="s">
        <v>323</v>
      </c>
      <c r="B58" t="s">
        <v>529</v>
      </c>
      <c r="C58" s="3">
        <v>23.76</v>
      </c>
      <c r="D58" s="3">
        <v>90.39</v>
      </c>
      <c r="E58" t="s">
        <v>15</v>
      </c>
      <c r="F58" t="s">
        <v>77</v>
      </c>
      <c r="G58" t="s">
        <v>703</v>
      </c>
      <c r="I58" t="s">
        <v>15</v>
      </c>
      <c r="J58" t="s">
        <v>12</v>
      </c>
      <c r="K58" t="s">
        <v>15</v>
      </c>
      <c r="L58" t="s">
        <v>751</v>
      </c>
      <c r="M58" t="s">
        <v>809</v>
      </c>
      <c r="O58">
        <v>85.082999999999998</v>
      </c>
      <c r="P58">
        <v>70.114000000000004</v>
      </c>
      <c r="GP58">
        <v>1</v>
      </c>
      <c r="GQ58">
        <v>1</v>
      </c>
      <c r="GR58">
        <v>1</v>
      </c>
      <c r="GS58">
        <v>1</v>
      </c>
      <c r="GT58">
        <v>1</v>
      </c>
      <c r="GU58">
        <v>1</v>
      </c>
      <c r="GV58">
        <v>1</v>
      </c>
      <c r="GW58">
        <v>1</v>
      </c>
      <c r="GX58">
        <v>1</v>
      </c>
      <c r="GY58">
        <v>1</v>
      </c>
      <c r="GZ58">
        <v>1</v>
      </c>
      <c r="HA58">
        <v>1</v>
      </c>
      <c r="HB58">
        <v>1</v>
      </c>
    </row>
    <row r="59" spans="1:220" x14ac:dyDescent="0.25">
      <c r="A59" t="s">
        <v>323</v>
      </c>
      <c r="B59" t="s">
        <v>529</v>
      </c>
      <c r="C59" s="3">
        <v>23.77</v>
      </c>
      <c r="D59" s="3">
        <v>90.38</v>
      </c>
      <c r="E59" t="s">
        <v>15</v>
      </c>
      <c r="F59" t="s">
        <v>21</v>
      </c>
      <c r="G59" t="s">
        <v>704</v>
      </c>
      <c r="H59">
        <v>50</v>
      </c>
      <c r="I59" t="s">
        <v>15</v>
      </c>
      <c r="J59" t="s">
        <v>12</v>
      </c>
      <c r="K59" t="s">
        <v>12</v>
      </c>
      <c r="L59" t="s">
        <v>752</v>
      </c>
      <c r="M59" t="s">
        <v>810</v>
      </c>
      <c r="O59">
        <v>34.630000000000003</v>
      </c>
      <c r="P59">
        <v>21.99</v>
      </c>
      <c r="BY59">
        <v>1</v>
      </c>
      <c r="BZ59">
        <v>1</v>
      </c>
      <c r="CA59">
        <v>1</v>
      </c>
      <c r="CB59">
        <v>1</v>
      </c>
      <c r="CC59">
        <v>1</v>
      </c>
      <c r="CD59">
        <v>1</v>
      </c>
      <c r="CE59">
        <v>1</v>
      </c>
      <c r="CF59">
        <v>1</v>
      </c>
      <c r="CG59">
        <v>1</v>
      </c>
      <c r="CH59">
        <v>1</v>
      </c>
      <c r="CI59">
        <v>1</v>
      </c>
      <c r="CJ59">
        <v>1</v>
      </c>
      <c r="CK59">
        <v>1</v>
      </c>
      <c r="CL59">
        <v>1</v>
      </c>
      <c r="CM59">
        <v>1</v>
      </c>
      <c r="CN59">
        <v>1</v>
      </c>
      <c r="CO59">
        <v>1</v>
      </c>
      <c r="CP59">
        <v>1</v>
      </c>
      <c r="CQ59">
        <v>1</v>
      </c>
      <c r="CR59">
        <v>1</v>
      </c>
      <c r="CS59">
        <v>1</v>
      </c>
      <c r="CT59">
        <v>1</v>
      </c>
      <c r="CU59">
        <v>1</v>
      </c>
      <c r="CV59">
        <v>1</v>
      </c>
      <c r="CW59">
        <v>1</v>
      </c>
      <c r="CX59">
        <v>1</v>
      </c>
      <c r="CY59">
        <v>1</v>
      </c>
      <c r="CZ59">
        <v>1</v>
      </c>
      <c r="DA59">
        <v>1</v>
      </c>
      <c r="DB59">
        <v>1</v>
      </c>
      <c r="DC59">
        <v>1</v>
      </c>
      <c r="DD59">
        <v>1</v>
      </c>
      <c r="DE59">
        <v>1</v>
      </c>
      <c r="DF59">
        <v>1</v>
      </c>
      <c r="DG59">
        <v>1</v>
      </c>
      <c r="DH59">
        <v>1</v>
      </c>
      <c r="DI59">
        <v>1</v>
      </c>
    </row>
    <row r="60" spans="1:220" x14ac:dyDescent="0.25">
      <c r="A60" t="s">
        <v>323</v>
      </c>
      <c r="B60" t="s">
        <v>529</v>
      </c>
      <c r="C60" s="3">
        <v>23.69</v>
      </c>
      <c r="D60" s="3">
        <v>90.4</v>
      </c>
      <c r="E60" t="s">
        <v>12</v>
      </c>
      <c r="F60" t="s">
        <v>8</v>
      </c>
      <c r="G60" t="s">
        <v>106</v>
      </c>
      <c r="I60" t="s">
        <v>12</v>
      </c>
      <c r="J60" t="s">
        <v>12</v>
      </c>
      <c r="K60" t="s">
        <v>12</v>
      </c>
      <c r="L60" t="s">
        <v>928</v>
      </c>
      <c r="M60" t="s">
        <v>927</v>
      </c>
      <c r="O60">
        <v>190</v>
      </c>
      <c r="DU60">
        <v>1</v>
      </c>
    </row>
    <row r="61" spans="1:220" x14ac:dyDescent="0.25">
      <c r="A61" t="s">
        <v>323</v>
      </c>
      <c r="B61" t="s">
        <v>529</v>
      </c>
      <c r="C61" s="3">
        <v>23.69</v>
      </c>
      <c r="D61" s="3">
        <v>90.4</v>
      </c>
      <c r="E61" t="s">
        <v>12</v>
      </c>
      <c r="F61" t="s">
        <v>8</v>
      </c>
      <c r="G61" t="s">
        <v>106</v>
      </c>
      <c r="I61" t="s">
        <v>12</v>
      </c>
      <c r="J61" t="s">
        <v>12</v>
      </c>
      <c r="K61" t="s">
        <v>12</v>
      </c>
      <c r="L61" t="s">
        <v>928</v>
      </c>
      <c r="M61" t="s">
        <v>927</v>
      </c>
      <c r="O61">
        <v>195</v>
      </c>
      <c r="DV61">
        <v>1</v>
      </c>
    </row>
    <row r="62" spans="1:220" x14ac:dyDescent="0.25">
      <c r="A62" t="s">
        <v>323</v>
      </c>
      <c r="B62" t="s">
        <v>529</v>
      </c>
      <c r="C62" s="3">
        <v>23.69</v>
      </c>
      <c r="D62" s="3">
        <v>90.4</v>
      </c>
      <c r="E62" t="s">
        <v>12</v>
      </c>
      <c r="F62" t="s">
        <v>8</v>
      </c>
      <c r="G62" t="s">
        <v>106</v>
      </c>
      <c r="I62" t="s">
        <v>12</v>
      </c>
      <c r="J62" t="s">
        <v>12</v>
      </c>
      <c r="K62" t="s">
        <v>12</v>
      </c>
      <c r="L62" t="s">
        <v>928</v>
      </c>
      <c r="M62" t="s">
        <v>927</v>
      </c>
      <c r="O62">
        <v>150</v>
      </c>
      <c r="DW62">
        <v>1</v>
      </c>
    </row>
    <row r="63" spans="1:220" x14ac:dyDescent="0.25">
      <c r="A63" t="s">
        <v>323</v>
      </c>
      <c r="B63" t="s">
        <v>529</v>
      </c>
      <c r="C63" s="3">
        <v>23.69</v>
      </c>
      <c r="D63" s="3">
        <v>90.4</v>
      </c>
      <c r="E63" t="s">
        <v>12</v>
      </c>
      <c r="F63" t="s">
        <v>8</v>
      </c>
      <c r="G63" t="s">
        <v>106</v>
      </c>
      <c r="I63" t="s">
        <v>12</v>
      </c>
      <c r="J63" t="s">
        <v>12</v>
      </c>
      <c r="K63" t="s">
        <v>12</v>
      </c>
      <c r="L63" t="s">
        <v>928</v>
      </c>
      <c r="M63" t="s">
        <v>927</v>
      </c>
      <c r="O63">
        <v>80</v>
      </c>
      <c r="DX63">
        <v>1</v>
      </c>
    </row>
    <row r="64" spans="1:220" x14ac:dyDescent="0.25">
      <c r="A64" t="s">
        <v>323</v>
      </c>
      <c r="B64" t="s">
        <v>529</v>
      </c>
      <c r="C64" s="3">
        <v>23.69</v>
      </c>
      <c r="D64" s="3">
        <v>90.4</v>
      </c>
      <c r="E64" t="s">
        <v>12</v>
      </c>
      <c r="F64" t="s">
        <v>8</v>
      </c>
      <c r="G64" t="s">
        <v>106</v>
      </c>
      <c r="I64" t="s">
        <v>12</v>
      </c>
      <c r="J64" t="s">
        <v>12</v>
      </c>
      <c r="K64" t="s">
        <v>12</v>
      </c>
      <c r="L64" t="s">
        <v>928</v>
      </c>
      <c r="M64" t="s">
        <v>927</v>
      </c>
      <c r="O64">
        <v>45</v>
      </c>
      <c r="DY64">
        <v>1</v>
      </c>
    </row>
    <row r="65" spans="1:169" x14ac:dyDescent="0.25">
      <c r="A65" t="s">
        <v>323</v>
      </c>
      <c r="B65" t="s">
        <v>529</v>
      </c>
      <c r="C65" s="3">
        <v>23.69</v>
      </c>
      <c r="D65" s="3">
        <v>90.4</v>
      </c>
      <c r="E65" t="s">
        <v>12</v>
      </c>
      <c r="F65" t="s">
        <v>8</v>
      </c>
      <c r="G65" t="s">
        <v>106</v>
      </c>
      <c r="I65" t="s">
        <v>12</v>
      </c>
      <c r="J65" t="s">
        <v>12</v>
      </c>
      <c r="K65" t="s">
        <v>12</v>
      </c>
      <c r="L65" t="s">
        <v>928</v>
      </c>
      <c r="M65" t="s">
        <v>927</v>
      </c>
      <c r="O65">
        <v>37</v>
      </c>
      <c r="DZ65">
        <v>1</v>
      </c>
    </row>
    <row r="66" spans="1:169" x14ac:dyDescent="0.25">
      <c r="A66" t="s">
        <v>323</v>
      </c>
      <c r="B66" t="s">
        <v>529</v>
      </c>
      <c r="C66" s="3">
        <v>23.69</v>
      </c>
      <c r="D66" s="3">
        <v>90.4</v>
      </c>
      <c r="E66" t="s">
        <v>12</v>
      </c>
      <c r="F66" t="s">
        <v>8</v>
      </c>
      <c r="G66" t="s">
        <v>106</v>
      </c>
      <c r="I66" t="s">
        <v>12</v>
      </c>
      <c r="J66" t="s">
        <v>12</v>
      </c>
      <c r="K66" t="s">
        <v>12</v>
      </c>
      <c r="L66" t="s">
        <v>928</v>
      </c>
      <c r="M66" t="s">
        <v>927</v>
      </c>
      <c r="O66">
        <v>25</v>
      </c>
      <c r="EA66">
        <v>1</v>
      </c>
    </row>
    <row r="67" spans="1:169" x14ac:dyDescent="0.25">
      <c r="A67" t="s">
        <v>323</v>
      </c>
      <c r="B67" t="s">
        <v>529</v>
      </c>
      <c r="C67" s="3">
        <v>23.69</v>
      </c>
      <c r="D67" s="3">
        <v>90.4</v>
      </c>
      <c r="E67" t="s">
        <v>12</v>
      </c>
      <c r="F67" t="s">
        <v>8</v>
      </c>
      <c r="G67" t="s">
        <v>106</v>
      </c>
      <c r="I67" t="s">
        <v>12</v>
      </c>
      <c r="J67" t="s">
        <v>12</v>
      </c>
      <c r="K67" t="s">
        <v>12</v>
      </c>
      <c r="L67" t="s">
        <v>928</v>
      </c>
      <c r="M67" t="s">
        <v>927</v>
      </c>
      <c r="O67">
        <v>20</v>
      </c>
      <c r="EB67">
        <v>1</v>
      </c>
    </row>
    <row r="68" spans="1:169" x14ac:dyDescent="0.25">
      <c r="A68" t="s">
        <v>323</v>
      </c>
      <c r="B68" t="s">
        <v>529</v>
      </c>
      <c r="C68" s="3">
        <v>23.69</v>
      </c>
      <c r="D68" s="3">
        <v>90.4</v>
      </c>
      <c r="E68" t="s">
        <v>12</v>
      </c>
      <c r="F68" t="s">
        <v>8</v>
      </c>
      <c r="G68" t="s">
        <v>106</v>
      </c>
      <c r="I68" t="s">
        <v>12</v>
      </c>
      <c r="J68" t="s">
        <v>12</v>
      </c>
      <c r="K68" t="s">
        <v>12</v>
      </c>
      <c r="L68" t="s">
        <v>928</v>
      </c>
      <c r="M68" t="s">
        <v>927</v>
      </c>
      <c r="O68">
        <v>25</v>
      </c>
      <c r="EC68">
        <v>1</v>
      </c>
    </row>
    <row r="69" spans="1:169" x14ac:dyDescent="0.25">
      <c r="A69" t="s">
        <v>323</v>
      </c>
      <c r="B69" t="s">
        <v>529</v>
      </c>
      <c r="C69" s="3">
        <v>23.69</v>
      </c>
      <c r="D69" s="3">
        <v>90.4</v>
      </c>
      <c r="E69" t="s">
        <v>12</v>
      </c>
      <c r="F69" t="s">
        <v>8</v>
      </c>
      <c r="G69" t="s">
        <v>106</v>
      </c>
      <c r="I69" t="s">
        <v>12</v>
      </c>
      <c r="J69" t="s">
        <v>12</v>
      </c>
      <c r="K69" t="s">
        <v>12</v>
      </c>
      <c r="L69" t="s">
        <v>928</v>
      </c>
      <c r="M69" t="s">
        <v>927</v>
      </c>
      <c r="O69">
        <v>35</v>
      </c>
      <c r="ED69">
        <v>1</v>
      </c>
    </row>
    <row r="70" spans="1:169" x14ac:dyDescent="0.25">
      <c r="A70" t="s">
        <v>323</v>
      </c>
      <c r="B70" t="s">
        <v>529</v>
      </c>
      <c r="C70" s="3">
        <v>23.69</v>
      </c>
      <c r="D70" s="3">
        <v>90.4</v>
      </c>
      <c r="E70" t="s">
        <v>12</v>
      </c>
      <c r="F70" t="s">
        <v>8</v>
      </c>
      <c r="G70" t="s">
        <v>106</v>
      </c>
      <c r="I70" t="s">
        <v>12</v>
      </c>
      <c r="J70" t="s">
        <v>12</v>
      </c>
      <c r="K70" t="s">
        <v>12</v>
      </c>
      <c r="L70" t="s">
        <v>928</v>
      </c>
      <c r="M70" t="s">
        <v>927</v>
      </c>
      <c r="O70">
        <v>60</v>
      </c>
      <c r="EE70">
        <v>1</v>
      </c>
    </row>
    <row r="71" spans="1:169" x14ac:dyDescent="0.25">
      <c r="A71" t="s">
        <v>323</v>
      </c>
      <c r="B71" t="s">
        <v>529</v>
      </c>
      <c r="C71" s="3">
        <v>23.69</v>
      </c>
      <c r="D71" s="3">
        <v>90.4</v>
      </c>
      <c r="E71" t="s">
        <v>12</v>
      </c>
      <c r="F71" t="s">
        <v>8</v>
      </c>
      <c r="G71" t="s">
        <v>106</v>
      </c>
      <c r="I71" t="s">
        <v>12</v>
      </c>
      <c r="J71" t="s">
        <v>12</v>
      </c>
      <c r="K71" t="s">
        <v>12</v>
      </c>
      <c r="L71" t="s">
        <v>928</v>
      </c>
      <c r="M71" t="s">
        <v>927</v>
      </c>
      <c r="O71">
        <v>120</v>
      </c>
      <c r="EF71">
        <v>1</v>
      </c>
    </row>
    <row r="72" spans="1:169" x14ac:dyDescent="0.25">
      <c r="A72" t="s">
        <v>323</v>
      </c>
      <c r="B72" t="s">
        <v>529</v>
      </c>
      <c r="C72" s="3">
        <v>23.5</v>
      </c>
      <c r="D72" s="3">
        <v>90.5</v>
      </c>
      <c r="E72" t="s">
        <v>15</v>
      </c>
      <c r="F72" t="s">
        <v>77</v>
      </c>
      <c r="G72" t="s">
        <v>700</v>
      </c>
      <c r="I72" t="s">
        <v>12</v>
      </c>
      <c r="J72" t="s">
        <v>12</v>
      </c>
      <c r="K72" t="s">
        <v>12</v>
      </c>
      <c r="L72" t="s">
        <v>804</v>
      </c>
      <c r="M72" t="s">
        <v>803</v>
      </c>
      <c r="O72">
        <v>160</v>
      </c>
      <c r="CW72">
        <v>1</v>
      </c>
      <c r="DI72">
        <v>1</v>
      </c>
      <c r="DU72">
        <v>1</v>
      </c>
      <c r="EG72">
        <v>1</v>
      </c>
      <c r="ES72">
        <v>1</v>
      </c>
      <c r="FE72">
        <v>1</v>
      </c>
    </row>
    <row r="73" spans="1:169" x14ac:dyDescent="0.25">
      <c r="A73" t="s">
        <v>323</v>
      </c>
      <c r="B73" t="s">
        <v>529</v>
      </c>
      <c r="C73" s="3">
        <v>23.5</v>
      </c>
      <c r="D73" s="3">
        <v>90.5</v>
      </c>
      <c r="E73" t="s">
        <v>15</v>
      </c>
      <c r="F73" t="s">
        <v>77</v>
      </c>
      <c r="G73" t="s">
        <v>700</v>
      </c>
      <c r="I73" t="s">
        <v>12</v>
      </c>
      <c r="J73" t="s">
        <v>12</v>
      </c>
      <c r="K73" t="s">
        <v>12</v>
      </c>
      <c r="L73" t="s">
        <v>804</v>
      </c>
      <c r="M73" t="s">
        <v>803</v>
      </c>
      <c r="O73">
        <v>132</v>
      </c>
      <c r="CX73">
        <v>1</v>
      </c>
      <c r="DJ73">
        <v>1</v>
      </c>
      <c r="DV73">
        <v>1</v>
      </c>
      <c r="EH73">
        <v>1</v>
      </c>
      <c r="ET73">
        <v>1</v>
      </c>
      <c r="FF73">
        <v>1</v>
      </c>
    </row>
    <row r="74" spans="1:169" x14ac:dyDescent="0.25">
      <c r="A74" t="s">
        <v>323</v>
      </c>
      <c r="B74" t="s">
        <v>529</v>
      </c>
      <c r="C74" s="3">
        <v>23.5</v>
      </c>
      <c r="D74" s="3">
        <v>90.5</v>
      </c>
      <c r="E74" t="s">
        <v>15</v>
      </c>
      <c r="F74" t="s">
        <v>77</v>
      </c>
      <c r="G74" t="s">
        <v>700</v>
      </c>
      <c r="I74" t="s">
        <v>12</v>
      </c>
      <c r="J74" t="s">
        <v>12</v>
      </c>
      <c r="K74" t="s">
        <v>12</v>
      </c>
      <c r="L74" t="s">
        <v>804</v>
      </c>
      <c r="M74" t="s">
        <v>803</v>
      </c>
      <c r="O74">
        <v>100</v>
      </c>
      <c r="CY74">
        <v>1</v>
      </c>
      <c r="DK74">
        <v>1</v>
      </c>
      <c r="DW74">
        <v>1</v>
      </c>
      <c r="EI74">
        <v>1</v>
      </c>
      <c r="EU74">
        <v>1</v>
      </c>
      <c r="FG74">
        <v>1</v>
      </c>
    </row>
    <row r="75" spans="1:169" x14ac:dyDescent="0.25">
      <c r="A75" t="s">
        <v>323</v>
      </c>
      <c r="B75" t="s">
        <v>529</v>
      </c>
      <c r="C75" s="3">
        <v>23.5</v>
      </c>
      <c r="D75" s="3">
        <v>90.5</v>
      </c>
      <c r="E75" t="s">
        <v>15</v>
      </c>
      <c r="F75" t="s">
        <v>77</v>
      </c>
      <c r="G75" t="s">
        <v>700</v>
      </c>
      <c r="I75" t="s">
        <v>12</v>
      </c>
      <c r="J75" t="s">
        <v>12</v>
      </c>
      <c r="K75" t="s">
        <v>12</v>
      </c>
      <c r="L75" t="s">
        <v>804</v>
      </c>
      <c r="M75" t="s">
        <v>803</v>
      </c>
      <c r="O75">
        <v>55</v>
      </c>
      <c r="CZ75">
        <v>1</v>
      </c>
      <c r="DL75">
        <v>1</v>
      </c>
      <c r="DX75">
        <v>1</v>
      </c>
      <c r="EJ75">
        <v>1</v>
      </c>
      <c r="EV75">
        <v>1</v>
      </c>
      <c r="FH75">
        <v>1</v>
      </c>
    </row>
    <row r="76" spans="1:169" x14ac:dyDescent="0.25">
      <c r="A76" t="s">
        <v>323</v>
      </c>
      <c r="B76" t="s">
        <v>529</v>
      </c>
      <c r="C76" s="3">
        <v>23.5</v>
      </c>
      <c r="D76" s="3">
        <v>90.5</v>
      </c>
      <c r="E76" t="s">
        <v>15</v>
      </c>
      <c r="F76" t="s">
        <v>77</v>
      </c>
      <c r="G76" t="s">
        <v>700</v>
      </c>
      <c r="I76" t="s">
        <v>12</v>
      </c>
      <c r="J76" t="s">
        <v>12</v>
      </c>
      <c r="K76" t="s">
        <v>12</v>
      </c>
      <c r="L76" t="s">
        <v>804</v>
      </c>
      <c r="M76" t="s">
        <v>803</v>
      </c>
      <c r="O76">
        <v>45</v>
      </c>
      <c r="DA76">
        <v>1</v>
      </c>
      <c r="DM76">
        <v>1</v>
      </c>
      <c r="DY76">
        <v>1</v>
      </c>
      <c r="EK76">
        <v>1</v>
      </c>
      <c r="EW76">
        <v>1</v>
      </c>
      <c r="FI76">
        <v>1</v>
      </c>
    </row>
    <row r="77" spans="1:169" x14ac:dyDescent="0.25">
      <c r="A77" t="s">
        <v>323</v>
      </c>
      <c r="B77" t="s">
        <v>529</v>
      </c>
      <c r="C77" s="3">
        <v>23.5</v>
      </c>
      <c r="D77" s="3">
        <v>90.5</v>
      </c>
      <c r="E77" t="s">
        <v>15</v>
      </c>
      <c r="F77" t="s">
        <v>77</v>
      </c>
      <c r="G77" t="s">
        <v>700</v>
      </c>
      <c r="I77" t="s">
        <v>12</v>
      </c>
      <c r="J77" t="s">
        <v>12</v>
      </c>
      <c r="K77" t="s">
        <v>12</v>
      </c>
      <c r="L77" t="s">
        <v>804</v>
      </c>
      <c r="M77" t="s">
        <v>803</v>
      </c>
      <c r="O77">
        <v>35</v>
      </c>
      <c r="DB77">
        <v>1</v>
      </c>
      <c r="DN77">
        <v>1</v>
      </c>
      <c r="DZ77">
        <v>1</v>
      </c>
      <c r="EL77">
        <v>1</v>
      </c>
      <c r="EX77">
        <v>1</v>
      </c>
      <c r="FJ77">
        <v>1</v>
      </c>
    </row>
    <row r="78" spans="1:169" x14ac:dyDescent="0.25">
      <c r="A78" t="s">
        <v>323</v>
      </c>
      <c r="B78" t="s">
        <v>529</v>
      </c>
      <c r="C78" s="3">
        <v>23.5</v>
      </c>
      <c r="D78" s="3">
        <v>90.5</v>
      </c>
      <c r="E78" t="s">
        <v>15</v>
      </c>
      <c r="F78" t="s">
        <v>77</v>
      </c>
      <c r="G78" t="s">
        <v>700</v>
      </c>
      <c r="I78" t="s">
        <v>12</v>
      </c>
      <c r="J78" t="s">
        <v>12</v>
      </c>
      <c r="K78" t="s">
        <v>12</v>
      </c>
      <c r="L78" t="s">
        <v>804</v>
      </c>
      <c r="M78" t="s">
        <v>803</v>
      </c>
      <c r="O78">
        <v>20</v>
      </c>
      <c r="DC78">
        <v>1</v>
      </c>
      <c r="DO78">
        <v>1</v>
      </c>
      <c r="EA78">
        <v>1</v>
      </c>
      <c r="EM78">
        <v>1</v>
      </c>
      <c r="EY78">
        <v>1</v>
      </c>
      <c r="FK78">
        <v>1</v>
      </c>
    </row>
    <row r="79" spans="1:169" x14ac:dyDescent="0.25">
      <c r="A79" t="s">
        <v>323</v>
      </c>
      <c r="B79" t="s">
        <v>529</v>
      </c>
      <c r="C79" s="3">
        <v>23.5</v>
      </c>
      <c r="D79" s="3">
        <v>90.5</v>
      </c>
      <c r="E79" t="s">
        <v>15</v>
      </c>
      <c r="F79" t="s">
        <v>77</v>
      </c>
      <c r="G79" t="s">
        <v>700</v>
      </c>
      <c r="I79" t="s">
        <v>12</v>
      </c>
      <c r="J79" t="s">
        <v>12</v>
      </c>
      <c r="K79" t="s">
        <v>12</v>
      </c>
      <c r="L79" t="s">
        <v>804</v>
      </c>
      <c r="M79" t="s">
        <v>803</v>
      </c>
      <c r="O79">
        <v>25</v>
      </c>
      <c r="DD79">
        <v>1</v>
      </c>
      <c r="DP79">
        <v>1</v>
      </c>
      <c r="EB79">
        <v>1</v>
      </c>
      <c r="EN79">
        <v>1</v>
      </c>
      <c r="EZ79">
        <v>1</v>
      </c>
      <c r="FL79">
        <v>1</v>
      </c>
    </row>
    <row r="80" spans="1:169" x14ac:dyDescent="0.25">
      <c r="A80" t="s">
        <v>323</v>
      </c>
      <c r="B80" t="s">
        <v>529</v>
      </c>
      <c r="C80" s="3">
        <v>23.5</v>
      </c>
      <c r="D80" s="3">
        <v>90.5</v>
      </c>
      <c r="E80" t="s">
        <v>15</v>
      </c>
      <c r="F80" t="s">
        <v>77</v>
      </c>
      <c r="G80" t="s">
        <v>700</v>
      </c>
      <c r="I80" t="s">
        <v>12</v>
      </c>
      <c r="J80" t="s">
        <v>12</v>
      </c>
      <c r="K80" t="s">
        <v>12</v>
      </c>
      <c r="L80" t="s">
        <v>804</v>
      </c>
      <c r="M80" t="s">
        <v>803</v>
      </c>
      <c r="O80">
        <v>35</v>
      </c>
      <c r="DE80">
        <v>1</v>
      </c>
      <c r="DQ80">
        <v>1</v>
      </c>
      <c r="EC80">
        <v>1</v>
      </c>
      <c r="EO80">
        <v>1</v>
      </c>
      <c r="FA80">
        <v>1</v>
      </c>
      <c r="FM80">
        <v>1</v>
      </c>
    </row>
    <row r="81" spans="1:180" x14ac:dyDescent="0.25">
      <c r="A81" t="s">
        <v>323</v>
      </c>
      <c r="B81" t="s">
        <v>529</v>
      </c>
      <c r="C81" s="3">
        <v>23.5</v>
      </c>
      <c r="D81" s="3">
        <v>90.5</v>
      </c>
      <c r="E81" t="s">
        <v>15</v>
      </c>
      <c r="F81" t="s">
        <v>77</v>
      </c>
      <c r="G81" t="s">
        <v>700</v>
      </c>
      <c r="I81" t="s">
        <v>12</v>
      </c>
      <c r="J81" t="s">
        <v>12</v>
      </c>
      <c r="K81" t="s">
        <v>12</v>
      </c>
      <c r="L81" t="s">
        <v>804</v>
      </c>
      <c r="M81" t="s">
        <v>803</v>
      </c>
      <c r="O81">
        <v>70</v>
      </c>
      <c r="DF81">
        <v>1</v>
      </c>
      <c r="DR81">
        <v>1</v>
      </c>
      <c r="ED81">
        <v>1</v>
      </c>
      <c r="EP81">
        <v>1</v>
      </c>
      <c r="FB81">
        <v>1</v>
      </c>
      <c r="FN81">
        <v>1</v>
      </c>
    </row>
    <row r="82" spans="1:180" x14ac:dyDescent="0.25">
      <c r="A82" t="s">
        <v>323</v>
      </c>
      <c r="B82" t="s">
        <v>529</v>
      </c>
      <c r="C82" s="3">
        <v>23.5</v>
      </c>
      <c r="D82" s="3">
        <v>90.5</v>
      </c>
      <c r="E82" t="s">
        <v>15</v>
      </c>
      <c r="F82" t="s">
        <v>77</v>
      </c>
      <c r="G82" t="s">
        <v>700</v>
      </c>
      <c r="I82" t="s">
        <v>12</v>
      </c>
      <c r="J82" t="s">
        <v>12</v>
      </c>
      <c r="K82" t="s">
        <v>12</v>
      </c>
      <c r="L82" t="s">
        <v>804</v>
      </c>
      <c r="M82" t="s">
        <v>803</v>
      </c>
      <c r="O82">
        <v>110</v>
      </c>
      <c r="DG82">
        <v>1</v>
      </c>
      <c r="DS82">
        <v>1</v>
      </c>
      <c r="EE82">
        <v>1</v>
      </c>
      <c r="EQ82">
        <v>1</v>
      </c>
      <c r="FC82">
        <v>1</v>
      </c>
      <c r="FO82">
        <v>1</v>
      </c>
    </row>
    <row r="83" spans="1:180" x14ac:dyDescent="0.25">
      <c r="A83" t="s">
        <v>323</v>
      </c>
      <c r="B83" t="s">
        <v>529</v>
      </c>
      <c r="C83" s="3">
        <v>23.5</v>
      </c>
      <c r="D83" s="3">
        <v>90.5</v>
      </c>
      <c r="E83" t="s">
        <v>15</v>
      </c>
      <c r="F83" t="s">
        <v>77</v>
      </c>
      <c r="G83" t="s">
        <v>700</v>
      </c>
      <c r="I83" t="s">
        <v>12</v>
      </c>
      <c r="J83" t="s">
        <v>12</v>
      </c>
      <c r="K83" t="s">
        <v>12</v>
      </c>
      <c r="L83" t="s">
        <v>804</v>
      </c>
      <c r="M83" t="s">
        <v>803</v>
      </c>
      <c r="O83">
        <v>145</v>
      </c>
      <c r="DH83">
        <v>1</v>
      </c>
      <c r="DT83">
        <v>1</v>
      </c>
      <c r="EF83">
        <v>1</v>
      </c>
      <c r="ER83">
        <v>1</v>
      </c>
      <c r="FD83">
        <v>1</v>
      </c>
      <c r="FP83">
        <v>1</v>
      </c>
    </row>
    <row r="84" spans="1:180" x14ac:dyDescent="0.25">
      <c r="A84" t="s">
        <v>564</v>
      </c>
      <c r="B84" t="s">
        <v>529</v>
      </c>
      <c r="C84" s="3">
        <v>23.76</v>
      </c>
      <c r="D84" s="3">
        <v>90.39</v>
      </c>
      <c r="E84" t="s">
        <v>15</v>
      </c>
      <c r="F84" t="s">
        <v>77</v>
      </c>
      <c r="G84" t="s">
        <v>106</v>
      </c>
      <c r="I84" t="s">
        <v>12</v>
      </c>
      <c r="J84" t="s">
        <v>12</v>
      </c>
      <c r="K84" t="s">
        <v>12</v>
      </c>
      <c r="L84" t="s">
        <v>560</v>
      </c>
      <c r="M84" t="s">
        <v>906</v>
      </c>
      <c r="O84">
        <v>48.19</v>
      </c>
      <c r="P84">
        <v>40.65</v>
      </c>
      <c r="CW84">
        <v>1</v>
      </c>
      <c r="CX84">
        <v>1</v>
      </c>
      <c r="CY84">
        <v>1</v>
      </c>
      <c r="CZ84">
        <v>1</v>
      </c>
      <c r="DA84">
        <v>1</v>
      </c>
      <c r="DB84">
        <v>1</v>
      </c>
      <c r="DC84">
        <v>1</v>
      </c>
      <c r="DD84">
        <v>1</v>
      </c>
      <c r="DE84">
        <v>1</v>
      </c>
      <c r="DF84">
        <v>1</v>
      </c>
      <c r="DG84">
        <v>1</v>
      </c>
      <c r="DH84">
        <v>1</v>
      </c>
      <c r="DI84">
        <v>1</v>
      </c>
      <c r="DJ84">
        <v>1</v>
      </c>
      <c r="DK84">
        <v>1</v>
      </c>
      <c r="DL84">
        <v>1</v>
      </c>
      <c r="DM84">
        <v>1</v>
      </c>
      <c r="DN84">
        <v>1</v>
      </c>
      <c r="DO84">
        <v>1</v>
      </c>
      <c r="DP84">
        <v>1</v>
      </c>
      <c r="DQ84">
        <v>1</v>
      </c>
      <c r="DR84">
        <v>1</v>
      </c>
      <c r="DS84">
        <v>1</v>
      </c>
      <c r="DT84">
        <v>1</v>
      </c>
      <c r="DU84">
        <v>1</v>
      </c>
      <c r="DV84">
        <v>1</v>
      </c>
      <c r="DW84">
        <v>1</v>
      </c>
      <c r="DX84">
        <v>1</v>
      </c>
      <c r="DY84">
        <v>1</v>
      </c>
      <c r="DZ84">
        <v>1</v>
      </c>
      <c r="EA84">
        <v>1</v>
      </c>
      <c r="EB84">
        <v>1</v>
      </c>
      <c r="EC84">
        <v>1</v>
      </c>
      <c r="ED84">
        <v>1</v>
      </c>
      <c r="EE84">
        <v>1</v>
      </c>
      <c r="EF84">
        <v>1</v>
      </c>
    </row>
    <row r="85" spans="1:180" x14ac:dyDescent="0.25">
      <c r="A85" t="s">
        <v>702</v>
      </c>
      <c r="B85" t="s">
        <v>529</v>
      </c>
      <c r="C85" s="3">
        <v>24.37</v>
      </c>
      <c r="D85" s="3">
        <v>88.7</v>
      </c>
      <c r="E85" t="s">
        <v>15</v>
      </c>
      <c r="F85" t="s">
        <v>77</v>
      </c>
      <c r="G85" t="s">
        <v>701</v>
      </c>
      <c r="I85" t="s">
        <v>15</v>
      </c>
      <c r="J85" t="s">
        <v>12</v>
      </c>
      <c r="K85" t="s">
        <v>15</v>
      </c>
      <c r="L85" t="s">
        <v>749</v>
      </c>
      <c r="M85" t="s">
        <v>807</v>
      </c>
      <c r="O85">
        <v>22.47</v>
      </c>
      <c r="P85">
        <v>10.41</v>
      </c>
      <c r="CR85">
        <v>1</v>
      </c>
      <c r="CS85">
        <v>1</v>
      </c>
      <c r="CT85">
        <v>1</v>
      </c>
      <c r="CU85">
        <v>1</v>
      </c>
      <c r="CV85">
        <v>1</v>
      </c>
      <c r="CW85">
        <v>1</v>
      </c>
      <c r="CX85">
        <v>1</v>
      </c>
      <c r="CY85">
        <v>1</v>
      </c>
      <c r="CZ85">
        <v>1</v>
      </c>
      <c r="DA85">
        <v>1</v>
      </c>
    </row>
    <row r="86" spans="1:180" x14ac:dyDescent="0.25">
      <c r="A86" t="s">
        <v>691</v>
      </c>
      <c r="B86" t="s">
        <v>222</v>
      </c>
      <c r="C86" s="3">
        <v>19.920833333333334</v>
      </c>
      <c r="D86" s="3">
        <v>43.937777777777775</v>
      </c>
      <c r="E86" t="s">
        <v>12</v>
      </c>
      <c r="F86" t="s">
        <v>22</v>
      </c>
      <c r="G86" t="s">
        <v>690</v>
      </c>
      <c r="I86" t="s">
        <v>15</v>
      </c>
      <c r="J86" t="s">
        <v>15</v>
      </c>
      <c r="K86" t="s">
        <v>15</v>
      </c>
      <c r="L86" t="s">
        <v>795</v>
      </c>
      <c r="M86" t="s">
        <v>794</v>
      </c>
      <c r="O86">
        <v>17</v>
      </c>
      <c r="P86">
        <v>7</v>
      </c>
      <c r="FI86">
        <v>1</v>
      </c>
      <c r="FJ86">
        <v>1</v>
      </c>
      <c r="FK86">
        <v>1</v>
      </c>
      <c r="FL86">
        <v>1</v>
      </c>
      <c r="FM86">
        <v>1</v>
      </c>
      <c r="FN86">
        <v>1</v>
      </c>
      <c r="FO86">
        <v>1</v>
      </c>
      <c r="FP86">
        <v>1</v>
      </c>
      <c r="FQ86">
        <v>1</v>
      </c>
      <c r="FR86">
        <v>1</v>
      </c>
      <c r="FS86">
        <v>1</v>
      </c>
      <c r="FT86">
        <v>1</v>
      </c>
      <c r="FU86">
        <v>1</v>
      </c>
      <c r="FV86">
        <v>1</v>
      </c>
      <c r="FW86">
        <v>1</v>
      </c>
    </row>
    <row r="87" spans="1:180" x14ac:dyDescent="0.25">
      <c r="A87" t="s">
        <v>669</v>
      </c>
      <c r="B87" t="s">
        <v>222</v>
      </c>
      <c r="C87" s="3">
        <v>-19.899999999999999</v>
      </c>
      <c r="D87" s="3">
        <v>-43.9</v>
      </c>
      <c r="E87" t="s">
        <v>15</v>
      </c>
      <c r="F87" t="s">
        <v>34</v>
      </c>
      <c r="G87" t="s">
        <v>106</v>
      </c>
      <c r="H87">
        <v>45</v>
      </c>
      <c r="I87" t="s">
        <v>15</v>
      </c>
      <c r="J87" t="s">
        <v>15</v>
      </c>
      <c r="K87" t="s">
        <v>15</v>
      </c>
      <c r="L87" t="s">
        <v>667</v>
      </c>
      <c r="M87" t="s">
        <v>853</v>
      </c>
      <c r="O87">
        <v>17.7</v>
      </c>
      <c r="FJ87">
        <v>1</v>
      </c>
      <c r="FK87">
        <v>1</v>
      </c>
      <c r="FL87">
        <v>1</v>
      </c>
    </row>
    <row r="88" spans="1:180" x14ac:dyDescent="0.25">
      <c r="A88" t="s">
        <v>669</v>
      </c>
      <c r="B88" t="s">
        <v>222</v>
      </c>
      <c r="C88" s="3">
        <v>-19.899999999999999</v>
      </c>
      <c r="D88" s="3">
        <v>-43.9</v>
      </c>
      <c r="E88" t="s">
        <v>15</v>
      </c>
      <c r="F88" t="s">
        <v>34</v>
      </c>
      <c r="G88" t="s">
        <v>106</v>
      </c>
      <c r="H88">
        <v>45</v>
      </c>
      <c r="I88" t="s">
        <v>15</v>
      </c>
      <c r="J88" t="s">
        <v>15</v>
      </c>
      <c r="K88" t="s">
        <v>15</v>
      </c>
      <c r="L88" t="s">
        <v>667</v>
      </c>
      <c r="M88" t="s">
        <v>853</v>
      </c>
      <c r="O88">
        <v>17.600000000000001</v>
      </c>
      <c r="FM88">
        <v>1</v>
      </c>
      <c r="FN88">
        <v>1</v>
      </c>
      <c r="FO88">
        <v>1</v>
      </c>
    </row>
    <row r="89" spans="1:180" x14ac:dyDescent="0.25">
      <c r="A89" t="s">
        <v>669</v>
      </c>
      <c r="B89" t="s">
        <v>222</v>
      </c>
      <c r="C89" s="3">
        <v>-19.899999999999999</v>
      </c>
      <c r="D89" s="3">
        <v>-43.9</v>
      </c>
      <c r="E89" t="s">
        <v>15</v>
      </c>
      <c r="F89" t="s">
        <v>34</v>
      </c>
      <c r="G89" t="s">
        <v>106</v>
      </c>
      <c r="H89">
        <v>45</v>
      </c>
      <c r="I89" t="s">
        <v>15</v>
      </c>
      <c r="J89" t="s">
        <v>15</v>
      </c>
      <c r="K89" t="s">
        <v>15</v>
      </c>
      <c r="L89" t="s">
        <v>667</v>
      </c>
      <c r="M89" t="s">
        <v>853</v>
      </c>
      <c r="O89">
        <v>9</v>
      </c>
      <c r="FP89">
        <v>1</v>
      </c>
      <c r="FQ89">
        <v>1</v>
      </c>
      <c r="FR89">
        <v>1</v>
      </c>
    </row>
    <row r="90" spans="1:180" x14ac:dyDescent="0.25">
      <c r="A90" t="s">
        <v>669</v>
      </c>
      <c r="B90" t="s">
        <v>222</v>
      </c>
      <c r="C90" s="3">
        <v>-19.899999999999999</v>
      </c>
      <c r="D90" s="3">
        <v>-43.9</v>
      </c>
      <c r="E90" t="s">
        <v>15</v>
      </c>
      <c r="F90" t="s">
        <v>34</v>
      </c>
      <c r="G90" t="s">
        <v>106</v>
      </c>
      <c r="H90">
        <v>45</v>
      </c>
      <c r="I90" t="s">
        <v>15</v>
      </c>
      <c r="J90" t="s">
        <v>15</v>
      </c>
      <c r="K90" t="s">
        <v>15</v>
      </c>
      <c r="L90" t="s">
        <v>667</v>
      </c>
      <c r="M90" t="s">
        <v>853</v>
      </c>
      <c r="O90">
        <v>13.7</v>
      </c>
      <c r="FS90">
        <v>1</v>
      </c>
      <c r="FT90">
        <v>1</v>
      </c>
      <c r="FU90">
        <v>1</v>
      </c>
    </row>
    <row r="91" spans="1:180" x14ac:dyDescent="0.25">
      <c r="A91" t="s">
        <v>669</v>
      </c>
      <c r="B91" t="s">
        <v>222</v>
      </c>
      <c r="C91" s="3">
        <v>-19.899999999999999</v>
      </c>
      <c r="D91" s="3">
        <v>-43.9</v>
      </c>
      <c r="E91" t="s">
        <v>15</v>
      </c>
      <c r="F91" t="s">
        <v>34</v>
      </c>
      <c r="G91" t="s">
        <v>106</v>
      </c>
      <c r="H91">
        <v>45</v>
      </c>
      <c r="I91" t="s">
        <v>15</v>
      </c>
      <c r="J91" t="s">
        <v>15</v>
      </c>
      <c r="K91" t="s">
        <v>15</v>
      </c>
      <c r="L91" t="s">
        <v>667</v>
      </c>
      <c r="M91" t="s">
        <v>853</v>
      </c>
      <c r="O91">
        <v>14.8</v>
      </c>
      <c r="FV91">
        <v>1</v>
      </c>
      <c r="FW91">
        <v>1</v>
      </c>
      <c r="FX91">
        <v>1</v>
      </c>
    </row>
    <row r="92" spans="1:180" x14ac:dyDescent="0.25">
      <c r="A92" t="s">
        <v>417</v>
      </c>
      <c r="B92" t="s">
        <v>222</v>
      </c>
      <c r="C92" s="3">
        <v>-22.91</v>
      </c>
      <c r="D92" s="3">
        <v>-47.06</v>
      </c>
      <c r="E92" t="s">
        <v>12</v>
      </c>
      <c r="F92" t="s">
        <v>34</v>
      </c>
      <c r="G92" t="s">
        <v>76</v>
      </c>
      <c r="I92" t="s">
        <v>15</v>
      </c>
      <c r="J92" t="s">
        <v>12</v>
      </c>
      <c r="K92" t="s">
        <v>15</v>
      </c>
      <c r="L92" t="s">
        <v>429</v>
      </c>
      <c r="M92" t="s">
        <v>988</v>
      </c>
      <c r="O92">
        <v>10.68</v>
      </c>
      <c r="P92">
        <v>8.25</v>
      </c>
      <c r="DP92">
        <v>1</v>
      </c>
      <c r="DQ92">
        <v>1</v>
      </c>
      <c r="DR92">
        <v>1</v>
      </c>
      <c r="DS92">
        <v>1</v>
      </c>
      <c r="DT92">
        <v>1</v>
      </c>
      <c r="DU92">
        <v>1</v>
      </c>
      <c r="DV92">
        <v>1</v>
      </c>
      <c r="DW92">
        <v>1</v>
      </c>
      <c r="DX92">
        <v>1</v>
      </c>
      <c r="DY92">
        <v>1</v>
      </c>
      <c r="DZ92">
        <v>1</v>
      </c>
      <c r="EA92">
        <v>1</v>
      </c>
      <c r="EB92">
        <v>1</v>
      </c>
    </row>
    <row r="93" spans="1:180" x14ac:dyDescent="0.25">
      <c r="A93" t="s">
        <v>221</v>
      </c>
      <c r="B93" t="s">
        <v>222</v>
      </c>
      <c r="C93" s="3">
        <f>-(31+52.52/60)</f>
        <v>-31.875333333333334</v>
      </c>
      <c r="D93" s="3">
        <f>-(54+8.81/60)</f>
        <v>-54.146833333333333</v>
      </c>
      <c r="E93" t="s">
        <v>15</v>
      </c>
      <c r="F93" t="s">
        <v>20</v>
      </c>
      <c r="G93" t="s">
        <v>106</v>
      </c>
      <c r="H93">
        <v>50</v>
      </c>
      <c r="I93" t="s">
        <v>12</v>
      </c>
      <c r="J93" t="s">
        <v>12</v>
      </c>
      <c r="K93" t="s">
        <v>15</v>
      </c>
      <c r="L93" t="s">
        <v>223</v>
      </c>
      <c r="M93" t="s">
        <v>1072</v>
      </c>
      <c r="O93">
        <v>5.8</v>
      </c>
      <c r="DI93">
        <v>1</v>
      </c>
      <c r="DJ93">
        <v>1</v>
      </c>
      <c r="DK93">
        <v>1</v>
      </c>
      <c r="DL93">
        <v>1</v>
      </c>
      <c r="DM93">
        <v>1</v>
      </c>
      <c r="DN93">
        <v>1</v>
      </c>
      <c r="DO93">
        <v>1</v>
      </c>
      <c r="DP93">
        <v>1</v>
      </c>
      <c r="DQ93">
        <v>1</v>
      </c>
      <c r="DR93">
        <v>1</v>
      </c>
      <c r="DS93">
        <v>1</v>
      </c>
      <c r="DT93">
        <v>1</v>
      </c>
      <c r="DU93">
        <v>1</v>
      </c>
      <c r="DV93">
        <v>1</v>
      </c>
      <c r="DW93">
        <v>1</v>
      </c>
      <c r="DX93">
        <v>1</v>
      </c>
      <c r="DY93">
        <v>1</v>
      </c>
      <c r="DZ93">
        <v>1</v>
      </c>
      <c r="EA93">
        <v>1</v>
      </c>
      <c r="EB93">
        <v>1</v>
      </c>
      <c r="EC93">
        <v>1</v>
      </c>
    </row>
    <row r="94" spans="1:180" x14ac:dyDescent="0.25">
      <c r="A94" t="s">
        <v>221</v>
      </c>
      <c r="B94" t="s">
        <v>222</v>
      </c>
      <c r="C94" s="3">
        <f>-(31+40.31/60)</f>
        <v>-31.671833333333332</v>
      </c>
      <c r="D94" s="3">
        <f>-(54+49.74/60)</f>
        <v>-54.829000000000001</v>
      </c>
      <c r="E94" t="s">
        <v>15</v>
      </c>
      <c r="F94" t="s">
        <v>20</v>
      </c>
      <c r="G94" t="s">
        <v>106</v>
      </c>
      <c r="H94">
        <v>50</v>
      </c>
      <c r="I94" t="s">
        <v>12</v>
      </c>
      <c r="J94" t="s">
        <v>12</v>
      </c>
      <c r="K94" t="s">
        <v>15</v>
      </c>
      <c r="L94" t="s">
        <v>223</v>
      </c>
      <c r="M94" t="s">
        <v>1072</v>
      </c>
      <c r="O94">
        <v>4.7</v>
      </c>
      <c r="DI94">
        <v>1</v>
      </c>
      <c r="DJ94">
        <v>1</v>
      </c>
      <c r="DK94">
        <v>1</v>
      </c>
      <c r="DL94">
        <v>1</v>
      </c>
      <c r="DM94">
        <v>1</v>
      </c>
      <c r="DN94">
        <v>1</v>
      </c>
      <c r="DO94">
        <v>1</v>
      </c>
      <c r="DP94">
        <v>1</v>
      </c>
      <c r="DQ94">
        <v>1</v>
      </c>
      <c r="DR94">
        <v>1</v>
      </c>
      <c r="DS94">
        <v>1</v>
      </c>
      <c r="DT94">
        <v>1</v>
      </c>
      <c r="DU94">
        <v>1</v>
      </c>
      <c r="DV94">
        <v>1</v>
      </c>
      <c r="DW94">
        <v>1</v>
      </c>
      <c r="DX94">
        <v>1</v>
      </c>
      <c r="DY94">
        <v>1</v>
      </c>
      <c r="DZ94">
        <v>1</v>
      </c>
      <c r="EA94">
        <v>1</v>
      </c>
      <c r="EB94">
        <v>1</v>
      </c>
      <c r="EC94">
        <v>1</v>
      </c>
    </row>
    <row r="95" spans="1:180" x14ac:dyDescent="0.25">
      <c r="A95" t="s">
        <v>221</v>
      </c>
      <c r="B95" t="s">
        <v>222</v>
      </c>
      <c r="C95" s="3">
        <f>-(31+35.7/60)</f>
        <v>-31.594999999999999</v>
      </c>
      <c r="D95" s="3">
        <f>-(54+43.68/60)</f>
        <v>-54.728000000000002</v>
      </c>
      <c r="E95" t="s">
        <v>15</v>
      </c>
      <c r="F95" t="s">
        <v>20</v>
      </c>
      <c r="G95" t="s">
        <v>106</v>
      </c>
      <c r="H95">
        <v>50</v>
      </c>
      <c r="I95" t="s">
        <v>12</v>
      </c>
      <c r="J95" t="s">
        <v>12</v>
      </c>
      <c r="K95" t="s">
        <v>15</v>
      </c>
      <c r="L95" t="s">
        <v>223</v>
      </c>
      <c r="M95" t="s">
        <v>1072</v>
      </c>
      <c r="O95">
        <v>6</v>
      </c>
      <c r="DI95">
        <v>1</v>
      </c>
      <c r="DJ95">
        <v>1</v>
      </c>
      <c r="DK95">
        <v>1</v>
      </c>
      <c r="DL95">
        <v>1</v>
      </c>
      <c r="DM95">
        <v>1</v>
      </c>
      <c r="DN95">
        <v>1</v>
      </c>
      <c r="DO95">
        <v>1</v>
      </c>
      <c r="DP95">
        <v>1</v>
      </c>
      <c r="DQ95">
        <v>1</v>
      </c>
      <c r="DR95">
        <v>1</v>
      </c>
      <c r="DS95">
        <v>1</v>
      </c>
      <c r="DT95">
        <v>1</v>
      </c>
      <c r="DU95">
        <v>1</v>
      </c>
      <c r="DV95">
        <v>1</v>
      </c>
      <c r="DW95">
        <v>1</v>
      </c>
      <c r="DX95">
        <v>1</v>
      </c>
      <c r="DY95">
        <v>1</v>
      </c>
      <c r="DZ95">
        <v>1</v>
      </c>
      <c r="EA95">
        <v>1</v>
      </c>
      <c r="EB95">
        <v>1</v>
      </c>
      <c r="EC95">
        <v>1</v>
      </c>
    </row>
    <row r="96" spans="1:180" x14ac:dyDescent="0.25">
      <c r="A96" t="s">
        <v>714</v>
      </c>
      <c r="B96" t="s">
        <v>222</v>
      </c>
      <c r="C96" s="3">
        <f>-31-AVERAGE(52,23,40,43)/60-AVERAGE(62,86,1,94)/3600</f>
        <v>-31.675208333333334</v>
      </c>
      <c r="D96" s="3">
        <f>-AVERAGE(54,54,53,53)-AVERAGE(8,7,49,34)/60-AVERAGE(81,10,74,94)/3600</f>
        <v>-53.926319444444445</v>
      </c>
      <c r="E96" t="s">
        <v>12</v>
      </c>
      <c r="F96" t="s">
        <v>20</v>
      </c>
      <c r="G96" t="s">
        <v>95</v>
      </c>
      <c r="I96" t="s">
        <v>12</v>
      </c>
      <c r="J96" t="s">
        <v>12</v>
      </c>
      <c r="K96" t="s">
        <v>12</v>
      </c>
      <c r="L96" t="s">
        <v>759</v>
      </c>
      <c r="M96" t="s">
        <v>817</v>
      </c>
      <c r="O96">
        <v>5.19</v>
      </c>
      <c r="CJ96">
        <v>1</v>
      </c>
      <c r="CK96">
        <v>1</v>
      </c>
      <c r="CL96">
        <v>1</v>
      </c>
      <c r="CM96">
        <v>1</v>
      </c>
      <c r="CN96">
        <v>1</v>
      </c>
      <c r="CO96">
        <v>1</v>
      </c>
      <c r="CP96">
        <v>1</v>
      </c>
      <c r="CQ96">
        <v>1</v>
      </c>
      <c r="CR96">
        <v>1</v>
      </c>
      <c r="CS96">
        <v>1</v>
      </c>
      <c r="CT96">
        <v>1</v>
      </c>
      <c r="CU96">
        <v>1</v>
      </c>
      <c r="CV96">
        <v>1</v>
      </c>
    </row>
    <row r="97" spans="1:180" x14ac:dyDescent="0.25">
      <c r="A97" t="s">
        <v>680</v>
      </c>
      <c r="B97" t="s">
        <v>222</v>
      </c>
      <c r="C97" s="3">
        <v>-29.96</v>
      </c>
      <c r="D97" s="3">
        <v>-51.63</v>
      </c>
      <c r="E97" t="s">
        <v>12</v>
      </c>
      <c r="F97" t="s">
        <v>20</v>
      </c>
      <c r="G97" t="s">
        <v>106</v>
      </c>
      <c r="I97" t="s">
        <v>12</v>
      </c>
      <c r="J97" t="s">
        <v>12</v>
      </c>
      <c r="K97" t="s">
        <v>15</v>
      </c>
      <c r="L97" t="s">
        <v>681</v>
      </c>
      <c r="M97" t="s">
        <v>848</v>
      </c>
      <c r="O97">
        <v>7.04</v>
      </c>
      <c r="CZ97">
        <v>1</v>
      </c>
      <c r="DA97">
        <v>1</v>
      </c>
      <c r="DB97">
        <v>1</v>
      </c>
      <c r="DC97">
        <v>1</v>
      </c>
      <c r="DD97">
        <v>1</v>
      </c>
      <c r="DE97">
        <v>1</v>
      </c>
      <c r="DF97">
        <v>1</v>
      </c>
      <c r="DG97">
        <v>1</v>
      </c>
      <c r="DH97">
        <v>1</v>
      </c>
      <c r="EG97">
        <v>1</v>
      </c>
      <c r="EH97">
        <v>1</v>
      </c>
      <c r="EI97">
        <v>1</v>
      </c>
      <c r="EJ97">
        <v>1</v>
      </c>
      <c r="EK97">
        <v>1</v>
      </c>
      <c r="EL97">
        <v>1</v>
      </c>
      <c r="EM97">
        <v>1</v>
      </c>
      <c r="EN97">
        <v>1</v>
      </c>
      <c r="EO97">
        <v>1</v>
      </c>
      <c r="EP97">
        <v>1</v>
      </c>
      <c r="EQ97">
        <v>1</v>
      </c>
      <c r="ER97">
        <v>1</v>
      </c>
    </row>
    <row r="98" spans="1:180" x14ac:dyDescent="0.25">
      <c r="A98" t="s">
        <v>671</v>
      </c>
      <c r="B98" t="s">
        <v>222</v>
      </c>
      <c r="C98" s="3">
        <v>-25.427777777777798</v>
      </c>
      <c r="D98" s="3">
        <v>-49.273055555555601</v>
      </c>
      <c r="E98" t="s">
        <v>12</v>
      </c>
      <c r="F98" t="s">
        <v>34</v>
      </c>
      <c r="G98" t="s">
        <v>690</v>
      </c>
      <c r="I98" t="s">
        <v>15</v>
      </c>
      <c r="J98" t="s">
        <v>15</v>
      </c>
      <c r="K98" t="s">
        <v>15</v>
      </c>
      <c r="L98" t="s">
        <v>795</v>
      </c>
      <c r="M98" t="s">
        <v>794</v>
      </c>
      <c r="O98">
        <v>12</v>
      </c>
      <c r="P98">
        <v>4</v>
      </c>
      <c r="FL98">
        <v>1</v>
      </c>
      <c r="FM98">
        <v>1</v>
      </c>
      <c r="FN98">
        <v>1</v>
      </c>
      <c r="FO98">
        <v>1</v>
      </c>
      <c r="FP98">
        <v>1</v>
      </c>
      <c r="FQ98">
        <v>1</v>
      </c>
      <c r="FR98">
        <v>1</v>
      </c>
      <c r="FS98">
        <v>1</v>
      </c>
      <c r="FT98">
        <v>1</v>
      </c>
      <c r="FU98">
        <v>1</v>
      </c>
      <c r="FV98">
        <v>1</v>
      </c>
      <c r="FW98">
        <v>1</v>
      </c>
      <c r="FX98">
        <v>1</v>
      </c>
    </row>
    <row r="99" spans="1:180" x14ac:dyDescent="0.25">
      <c r="A99" t="s">
        <v>671</v>
      </c>
      <c r="B99" t="s">
        <v>222</v>
      </c>
      <c r="C99" s="3">
        <v>-25.4</v>
      </c>
      <c r="D99" s="3">
        <v>-49.2</v>
      </c>
      <c r="E99" t="s">
        <v>15</v>
      </c>
      <c r="F99" t="s">
        <v>34</v>
      </c>
      <c r="G99" t="s">
        <v>106</v>
      </c>
      <c r="H99">
        <v>45</v>
      </c>
      <c r="I99" t="s">
        <v>15</v>
      </c>
      <c r="J99" t="s">
        <v>15</v>
      </c>
      <c r="K99" t="s">
        <v>15</v>
      </c>
      <c r="L99" t="s">
        <v>667</v>
      </c>
      <c r="M99" t="s">
        <v>853</v>
      </c>
      <c r="O99">
        <v>18.3</v>
      </c>
      <c r="FJ99">
        <v>1</v>
      </c>
      <c r="FK99">
        <v>1</v>
      </c>
      <c r="FL99">
        <v>1</v>
      </c>
    </row>
    <row r="100" spans="1:180" x14ac:dyDescent="0.25">
      <c r="A100" t="s">
        <v>671</v>
      </c>
      <c r="B100" t="s">
        <v>222</v>
      </c>
      <c r="C100" s="3">
        <v>-25.4</v>
      </c>
      <c r="D100" s="3">
        <v>-49.2</v>
      </c>
      <c r="E100" t="s">
        <v>15</v>
      </c>
      <c r="F100" t="s">
        <v>34</v>
      </c>
      <c r="G100" t="s">
        <v>106</v>
      </c>
      <c r="H100">
        <v>45</v>
      </c>
      <c r="I100" t="s">
        <v>15</v>
      </c>
      <c r="J100" t="s">
        <v>15</v>
      </c>
      <c r="K100" t="s">
        <v>15</v>
      </c>
      <c r="L100" t="s">
        <v>667</v>
      </c>
      <c r="M100" t="s">
        <v>853</v>
      </c>
      <c r="O100">
        <v>13.8</v>
      </c>
      <c r="FM100">
        <v>1</v>
      </c>
      <c r="FN100">
        <v>1</v>
      </c>
      <c r="FO100">
        <v>1</v>
      </c>
    </row>
    <row r="101" spans="1:180" x14ac:dyDescent="0.25">
      <c r="A101" t="s">
        <v>671</v>
      </c>
      <c r="B101" t="s">
        <v>222</v>
      </c>
      <c r="C101" s="3">
        <v>-25.4</v>
      </c>
      <c r="D101" s="3">
        <v>-49.2</v>
      </c>
      <c r="E101" t="s">
        <v>15</v>
      </c>
      <c r="F101" t="s">
        <v>34</v>
      </c>
      <c r="G101" t="s">
        <v>106</v>
      </c>
      <c r="H101">
        <v>45</v>
      </c>
      <c r="I101" t="s">
        <v>15</v>
      </c>
      <c r="J101" t="s">
        <v>15</v>
      </c>
      <c r="K101" t="s">
        <v>15</v>
      </c>
      <c r="L101" t="s">
        <v>667</v>
      </c>
      <c r="M101" t="s">
        <v>853</v>
      </c>
      <c r="O101">
        <v>8</v>
      </c>
      <c r="FP101">
        <v>1</v>
      </c>
      <c r="FQ101">
        <v>1</v>
      </c>
      <c r="FR101">
        <v>1</v>
      </c>
    </row>
    <row r="102" spans="1:180" x14ac:dyDescent="0.25">
      <c r="A102" t="s">
        <v>671</v>
      </c>
      <c r="B102" t="s">
        <v>222</v>
      </c>
      <c r="C102" s="3">
        <v>-25.4</v>
      </c>
      <c r="D102" s="3">
        <v>-49.2</v>
      </c>
      <c r="E102" t="s">
        <v>15</v>
      </c>
      <c r="F102" t="s">
        <v>34</v>
      </c>
      <c r="G102" t="s">
        <v>106</v>
      </c>
      <c r="H102">
        <v>45</v>
      </c>
      <c r="I102" t="s">
        <v>15</v>
      </c>
      <c r="J102" t="s">
        <v>15</v>
      </c>
      <c r="K102" t="s">
        <v>15</v>
      </c>
      <c r="L102" t="s">
        <v>667</v>
      </c>
      <c r="M102" t="s">
        <v>853</v>
      </c>
      <c r="O102">
        <v>15.7</v>
      </c>
      <c r="FS102">
        <v>1</v>
      </c>
      <c r="FT102">
        <v>1</v>
      </c>
      <c r="FU102">
        <v>1</v>
      </c>
    </row>
    <row r="103" spans="1:180" x14ac:dyDescent="0.25">
      <c r="A103" t="s">
        <v>671</v>
      </c>
      <c r="B103" t="s">
        <v>222</v>
      </c>
      <c r="C103" s="3">
        <v>-25.4</v>
      </c>
      <c r="D103" s="3">
        <v>-49.2</v>
      </c>
      <c r="E103" t="s">
        <v>15</v>
      </c>
      <c r="F103" t="s">
        <v>34</v>
      </c>
      <c r="G103" t="s">
        <v>106</v>
      </c>
      <c r="H103">
        <v>45</v>
      </c>
      <c r="I103" t="s">
        <v>15</v>
      </c>
      <c r="J103" t="s">
        <v>15</v>
      </c>
      <c r="K103" t="s">
        <v>15</v>
      </c>
      <c r="L103" t="s">
        <v>667</v>
      </c>
      <c r="M103" t="s">
        <v>853</v>
      </c>
      <c r="O103">
        <v>9.5</v>
      </c>
      <c r="FV103">
        <v>1</v>
      </c>
      <c r="FW103">
        <v>1</v>
      </c>
      <c r="FX103">
        <v>1</v>
      </c>
    </row>
    <row r="104" spans="1:180" x14ac:dyDescent="0.25">
      <c r="A104" t="s">
        <v>612</v>
      </c>
      <c r="B104" t="s">
        <v>222</v>
      </c>
      <c r="C104" s="3">
        <v>-23.33</v>
      </c>
      <c r="D104" s="3">
        <v>-51.21</v>
      </c>
      <c r="E104" t="s">
        <v>15</v>
      </c>
      <c r="F104" t="s">
        <v>20</v>
      </c>
      <c r="G104" t="s">
        <v>106</v>
      </c>
      <c r="H104">
        <v>30</v>
      </c>
      <c r="I104" t="s">
        <v>12</v>
      </c>
      <c r="J104" t="s">
        <v>15</v>
      </c>
      <c r="K104" t="s">
        <v>12</v>
      </c>
      <c r="L104" t="s">
        <v>613</v>
      </c>
      <c r="M104" t="s">
        <v>873</v>
      </c>
      <c r="O104">
        <v>13.3</v>
      </c>
      <c r="P104">
        <v>4.1399999999999997</v>
      </c>
      <c r="FG104">
        <v>0.5</v>
      </c>
      <c r="FH104">
        <v>1</v>
      </c>
    </row>
    <row r="105" spans="1:180" x14ac:dyDescent="0.25">
      <c r="A105" t="s">
        <v>612</v>
      </c>
      <c r="B105" t="s">
        <v>222</v>
      </c>
      <c r="C105" s="3">
        <v>-23.31</v>
      </c>
      <c r="D105" s="3">
        <v>-51.16</v>
      </c>
      <c r="E105" t="s">
        <v>15</v>
      </c>
      <c r="F105" t="s">
        <v>77</v>
      </c>
      <c r="G105" t="s">
        <v>106</v>
      </c>
      <c r="H105">
        <v>30</v>
      </c>
      <c r="I105" t="s">
        <v>12</v>
      </c>
      <c r="J105" t="s">
        <v>15</v>
      </c>
      <c r="K105" t="s">
        <v>12</v>
      </c>
      <c r="L105" t="s">
        <v>613</v>
      </c>
      <c r="M105" t="s">
        <v>873</v>
      </c>
      <c r="O105">
        <v>17.5</v>
      </c>
      <c r="P105">
        <v>5.04</v>
      </c>
      <c r="FG105">
        <v>0.5</v>
      </c>
      <c r="FH105">
        <v>1</v>
      </c>
    </row>
    <row r="106" spans="1:180" x14ac:dyDescent="0.25">
      <c r="A106" t="s">
        <v>670</v>
      </c>
      <c r="B106" t="s">
        <v>222</v>
      </c>
      <c r="C106" s="3">
        <v>-30.033055555555599</v>
      </c>
      <c r="D106" s="3">
        <v>-51.23</v>
      </c>
      <c r="E106" t="s">
        <v>12</v>
      </c>
      <c r="F106" t="s">
        <v>34</v>
      </c>
      <c r="G106" t="s">
        <v>690</v>
      </c>
      <c r="I106" t="s">
        <v>15</v>
      </c>
      <c r="J106" t="s">
        <v>15</v>
      </c>
      <c r="K106" t="s">
        <v>15</v>
      </c>
      <c r="L106" t="s">
        <v>795</v>
      </c>
      <c r="M106" t="s">
        <v>794</v>
      </c>
      <c r="O106">
        <v>16</v>
      </c>
      <c r="P106">
        <v>8</v>
      </c>
      <c r="FJ106">
        <v>1</v>
      </c>
      <c r="FK106">
        <v>1</v>
      </c>
      <c r="FL106">
        <v>1</v>
      </c>
      <c r="FM106">
        <v>1</v>
      </c>
      <c r="FN106">
        <v>1</v>
      </c>
      <c r="FO106">
        <v>1</v>
      </c>
      <c r="FP106">
        <v>1</v>
      </c>
      <c r="FQ106">
        <v>1</v>
      </c>
      <c r="FR106">
        <v>1</v>
      </c>
      <c r="FS106">
        <v>1</v>
      </c>
      <c r="FT106">
        <v>1</v>
      </c>
      <c r="FU106">
        <v>1</v>
      </c>
      <c r="FV106">
        <v>1</v>
      </c>
      <c r="FW106">
        <v>1</v>
      </c>
      <c r="FX106">
        <v>1</v>
      </c>
    </row>
    <row r="107" spans="1:180" x14ac:dyDescent="0.25">
      <c r="A107" t="s">
        <v>670</v>
      </c>
      <c r="B107" t="s">
        <v>222</v>
      </c>
      <c r="C107" s="3">
        <v>-30.03</v>
      </c>
      <c r="D107" s="3">
        <v>-51.21</v>
      </c>
      <c r="E107" t="s">
        <v>12</v>
      </c>
      <c r="F107" t="s">
        <v>77</v>
      </c>
      <c r="G107" t="s">
        <v>106</v>
      </c>
      <c r="I107" t="s">
        <v>12</v>
      </c>
      <c r="J107" t="s">
        <v>12</v>
      </c>
      <c r="K107" t="s">
        <v>15</v>
      </c>
      <c r="L107" t="s">
        <v>681</v>
      </c>
      <c r="M107" t="s">
        <v>848</v>
      </c>
      <c r="O107">
        <v>15.36</v>
      </c>
      <c r="CZ107">
        <v>1</v>
      </c>
      <c r="DA107">
        <v>1</v>
      </c>
      <c r="DB107">
        <v>1</v>
      </c>
      <c r="DC107">
        <v>1</v>
      </c>
      <c r="DD107">
        <v>1</v>
      </c>
      <c r="DE107">
        <v>1</v>
      </c>
      <c r="DF107">
        <v>1</v>
      </c>
      <c r="DG107">
        <v>1</v>
      </c>
      <c r="DH107">
        <v>1</v>
      </c>
      <c r="EG107">
        <v>1</v>
      </c>
      <c r="EH107">
        <v>1</v>
      </c>
      <c r="EI107">
        <v>1</v>
      </c>
      <c r="EJ107">
        <v>1</v>
      </c>
      <c r="EK107">
        <v>1</v>
      </c>
      <c r="EL107">
        <v>1</v>
      </c>
      <c r="EM107">
        <v>1</v>
      </c>
      <c r="EN107">
        <v>1</v>
      </c>
      <c r="EO107">
        <v>1</v>
      </c>
      <c r="EP107">
        <v>1</v>
      </c>
      <c r="EQ107">
        <v>1</v>
      </c>
      <c r="ER107">
        <v>1</v>
      </c>
    </row>
    <row r="108" spans="1:180" x14ac:dyDescent="0.25">
      <c r="A108" t="s">
        <v>670</v>
      </c>
      <c r="B108" t="s">
        <v>222</v>
      </c>
      <c r="C108" s="3">
        <v>-30</v>
      </c>
      <c r="D108" s="3">
        <v>-51.2</v>
      </c>
      <c r="E108" t="s">
        <v>15</v>
      </c>
      <c r="F108" t="s">
        <v>34</v>
      </c>
      <c r="G108" t="s">
        <v>106</v>
      </c>
      <c r="H108">
        <v>45</v>
      </c>
      <c r="I108" t="s">
        <v>15</v>
      </c>
      <c r="J108" t="s">
        <v>15</v>
      </c>
      <c r="K108" t="s">
        <v>15</v>
      </c>
      <c r="L108" t="s">
        <v>667</v>
      </c>
      <c r="M108" t="s">
        <v>853</v>
      </c>
      <c r="O108">
        <v>18.100000000000001</v>
      </c>
      <c r="FJ108">
        <v>1</v>
      </c>
      <c r="FK108">
        <v>1</v>
      </c>
      <c r="FL108">
        <v>1</v>
      </c>
    </row>
    <row r="109" spans="1:180" x14ac:dyDescent="0.25">
      <c r="A109" t="s">
        <v>670</v>
      </c>
      <c r="B109" t="s">
        <v>222</v>
      </c>
      <c r="C109" s="3">
        <v>-30</v>
      </c>
      <c r="D109" s="3">
        <v>-51.2</v>
      </c>
      <c r="E109" t="s">
        <v>15</v>
      </c>
      <c r="F109" t="s">
        <v>34</v>
      </c>
      <c r="G109" t="s">
        <v>106</v>
      </c>
      <c r="H109">
        <v>45</v>
      </c>
      <c r="I109" t="s">
        <v>15</v>
      </c>
      <c r="J109" t="s">
        <v>15</v>
      </c>
      <c r="K109" t="s">
        <v>15</v>
      </c>
      <c r="L109" t="s">
        <v>667</v>
      </c>
      <c r="M109" t="s">
        <v>853</v>
      </c>
      <c r="O109">
        <v>14.5</v>
      </c>
      <c r="FM109">
        <v>1</v>
      </c>
      <c r="FN109">
        <v>1</v>
      </c>
      <c r="FO109">
        <v>1</v>
      </c>
    </row>
    <row r="110" spans="1:180" x14ac:dyDescent="0.25">
      <c r="A110" t="s">
        <v>670</v>
      </c>
      <c r="B110" t="s">
        <v>222</v>
      </c>
      <c r="C110" s="3">
        <v>-30</v>
      </c>
      <c r="D110" s="3">
        <v>-51.2</v>
      </c>
      <c r="E110" t="s">
        <v>15</v>
      </c>
      <c r="F110" t="s">
        <v>34</v>
      </c>
      <c r="G110" t="s">
        <v>106</v>
      </c>
      <c r="H110">
        <v>45</v>
      </c>
      <c r="I110" t="s">
        <v>15</v>
      </c>
      <c r="J110" t="s">
        <v>15</v>
      </c>
      <c r="K110" t="s">
        <v>15</v>
      </c>
      <c r="L110" t="s">
        <v>667</v>
      </c>
      <c r="M110" t="s">
        <v>853</v>
      </c>
      <c r="O110">
        <v>8.3000000000000007</v>
      </c>
      <c r="FP110">
        <v>1</v>
      </c>
      <c r="FQ110">
        <v>1</v>
      </c>
      <c r="FR110">
        <v>1</v>
      </c>
    </row>
    <row r="111" spans="1:180" x14ac:dyDescent="0.25">
      <c r="A111" t="s">
        <v>670</v>
      </c>
      <c r="B111" t="s">
        <v>222</v>
      </c>
      <c r="C111" s="3">
        <v>-30</v>
      </c>
      <c r="D111" s="3">
        <v>-51.2</v>
      </c>
      <c r="E111" t="s">
        <v>15</v>
      </c>
      <c r="F111" t="s">
        <v>34</v>
      </c>
      <c r="G111" t="s">
        <v>106</v>
      </c>
      <c r="H111">
        <v>45</v>
      </c>
      <c r="I111" t="s">
        <v>15</v>
      </c>
      <c r="J111" t="s">
        <v>15</v>
      </c>
      <c r="K111" t="s">
        <v>15</v>
      </c>
      <c r="L111" t="s">
        <v>667</v>
      </c>
      <c r="M111" t="s">
        <v>853</v>
      </c>
      <c r="O111">
        <v>14.5</v>
      </c>
      <c r="FS111">
        <v>1</v>
      </c>
      <c r="FT111">
        <v>1</v>
      </c>
      <c r="FU111">
        <v>1</v>
      </c>
    </row>
    <row r="112" spans="1:180" x14ac:dyDescent="0.25">
      <c r="A112" t="s">
        <v>670</v>
      </c>
      <c r="B112" t="s">
        <v>222</v>
      </c>
      <c r="C112" s="3">
        <v>-30</v>
      </c>
      <c r="D112" s="3">
        <v>-51.2</v>
      </c>
      <c r="E112" t="s">
        <v>15</v>
      </c>
      <c r="F112" t="s">
        <v>34</v>
      </c>
      <c r="G112" t="s">
        <v>106</v>
      </c>
      <c r="H112">
        <v>45</v>
      </c>
      <c r="I112" t="s">
        <v>15</v>
      </c>
      <c r="J112" t="s">
        <v>15</v>
      </c>
      <c r="K112" t="s">
        <v>15</v>
      </c>
      <c r="L112" t="s">
        <v>667</v>
      </c>
      <c r="M112" t="s">
        <v>853</v>
      </c>
      <c r="O112">
        <v>16.7</v>
      </c>
      <c r="FV112">
        <v>1</v>
      </c>
      <c r="FW112">
        <v>1</v>
      </c>
      <c r="FX112">
        <v>1</v>
      </c>
    </row>
    <row r="113" spans="1:180" x14ac:dyDescent="0.25">
      <c r="A113" t="s">
        <v>672</v>
      </c>
      <c r="B113" t="s">
        <v>222</v>
      </c>
      <c r="C113" s="3">
        <v>-8.0538888888888902</v>
      </c>
      <c r="D113" s="3">
        <v>-34.881111111111103</v>
      </c>
      <c r="E113" t="s">
        <v>12</v>
      </c>
      <c r="F113" t="s">
        <v>34</v>
      </c>
      <c r="G113" t="s">
        <v>690</v>
      </c>
      <c r="I113" t="s">
        <v>15</v>
      </c>
      <c r="J113" t="s">
        <v>15</v>
      </c>
      <c r="K113" t="s">
        <v>15</v>
      </c>
      <c r="L113" t="s">
        <v>795</v>
      </c>
      <c r="M113" t="s">
        <v>794</v>
      </c>
      <c r="O113">
        <v>18</v>
      </c>
      <c r="P113">
        <v>13</v>
      </c>
      <c r="FJ113">
        <v>1</v>
      </c>
      <c r="FK113">
        <v>1</v>
      </c>
      <c r="FL113">
        <v>1</v>
      </c>
      <c r="FM113">
        <v>1</v>
      </c>
      <c r="FN113">
        <v>1</v>
      </c>
      <c r="FO113">
        <v>1</v>
      </c>
      <c r="FP113">
        <v>1</v>
      </c>
      <c r="FQ113">
        <v>1</v>
      </c>
      <c r="FR113">
        <v>1</v>
      </c>
      <c r="FS113">
        <v>1</v>
      </c>
      <c r="FT113">
        <v>1</v>
      </c>
      <c r="FU113">
        <v>1</v>
      </c>
      <c r="FV113">
        <v>1</v>
      </c>
      <c r="FW113">
        <v>1</v>
      </c>
    </row>
    <row r="114" spans="1:180" x14ac:dyDescent="0.25">
      <c r="A114" t="s">
        <v>672</v>
      </c>
      <c r="B114" t="s">
        <v>222</v>
      </c>
      <c r="C114" s="3">
        <v>-8.0500000000000007</v>
      </c>
      <c r="D114" s="3">
        <v>-34.9</v>
      </c>
      <c r="E114" t="s">
        <v>15</v>
      </c>
      <c r="F114" t="s">
        <v>34</v>
      </c>
      <c r="G114" t="s">
        <v>106</v>
      </c>
      <c r="H114">
        <v>45</v>
      </c>
      <c r="I114" t="s">
        <v>15</v>
      </c>
      <c r="J114" t="s">
        <v>15</v>
      </c>
      <c r="K114" t="s">
        <v>15</v>
      </c>
      <c r="L114" t="s">
        <v>667</v>
      </c>
      <c r="M114" t="s">
        <v>853</v>
      </c>
      <c r="O114">
        <v>8.6999999999999993</v>
      </c>
      <c r="FJ114">
        <v>1</v>
      </c>
      <c r="FK114">
        <v>1</v>
      </c>
      <c r="FL114">
        <v>1</v>
      </c>
    </row>
    <row r="115" spans="1:180" x14ac:dyDescent="0.25">
      <c r="A115" t="s">
        <v>672</v>
      </c>
      <c r="B115" t="s">
        <v>222</v>
      </c>
      <c r="C115" s="3">
        <v>-8.0500000000000007</v>
      </c>
      <c r="D115" s="3">
        <v>-34.9</v>
      </c>
      <c r="E115" t="s">
        <v>15</v>
      </c>
      <c r="F115" t="s">
        <v>34</v>
      </c>
      <c r="G115" t="s">
        <v>106</v>
      </c>
      <c r="H115">
        <v>45</v>
      </c>
      <c r="I115" t="s">
        <v>15</v>
      </c>
      <c r="J115" t="s">
        <v>15</v>
      </c>
      <c r="K115" t="s">
        <v>15</v>
      </c>
      <c r="L115" t="s">
        <v>667</v>
      </c>
      <c r="M115" t="s">
        <v>853</v>
      </c>
      <c r="O115">
        <v>6.9</v>
      </c>
      <c r="FM115">
        <v>1</v>
      </c>
      <c r="FN115">
        <v>1</v>
      </c>
      <c r="FO115">
        <v>1</v>
      </c>
    </row>
    <row r="116" spans="1:180" x14ac:dyDescent="0.25">
      <c r="A116" t="s">
        <v>672</v>
      </c>
      <c r="B116" t="s">
        <v>222</v>
      </c>
      <c r="C116" s="3">
        <v>-8.0500000000000007</v>
      </c>
      <c r="D116" s="3">
        <v>-34.9</v>
      </c>
      <c r="E116" t="s">
        <v>15</v>
      </c>
      <c r="F116" t="s">
        <v>34</v>
      </c>
      <c r="G116" t="s">
        <v>106</v>
      </c>
      <c r="H116">
        <v>45</v>
      </c>
      <c r="I116" t="s">
        <v>15</v>
      </c>
      <c r="J116" t="s">
        <v>15</v>
      </c>
      <c r="K116" t="s">
        <v>15</v>
      </c>
      <c r="L116" t="s">
        <v>667</v>
      </c>
      <c r="M116" t="s">
        <v>853</v>
      </c>
      <c r="O116">
        <v>6.8</v>
      </c>
      <c r="FP116">
        <v>1</v>
      </c>
      <c r="FQ116">
        <v>1</v>
      </c>
      <c r="FR116">
        <v>1</v>
      </c>
    </row>
    <row r="117" spans="1:180" x14ac:dyDescent="0.25">
      <c r="A117" t="s">
        <v>672</v>
      </c>
      <c r="B117" t="s">
        <v>222</v>
      </c>
      <c r="C117" s="3">
        <v>-8.0500000000000007</v>
      </c>
      <c r="D117" s="3">
        <v>-34.9</v>
      </c>
      <c r="E117" t="s">
        <v>15</v>
      </c>
      <c r="F117" t="s">
        <v>34</v>
      </c>
      <c r="G117" t="s">
        <v>106</v>
      </c>
      <c r="H117">
        <v>45</v>
      </c>
      <c r="I117" t="s">
        <v>15</v>
      </c>
      <c r="J117" t="s">
        <v>15</v>
      </c>
      <c r="K117" t="s">
        <v>15</v>
      </c>
      <c r="L117" t="s">
        <v>667</v>
      </c>
      <c r="M117" t="s">
        <v>853</v>
      </c>
      <c r="O117">
        <v>6.9</v>
      </c>
      <c r="FS117">
        <v>1</v>
      </c>
      <c r="FT117">
        <v>1</v>
      </c>
      <c r="FU117">
        <v>1</v>
      </c>
    </row>
    <row r="118" spans="1:180" x14ac:dyDescent="0.25">
      <c r="A118" t="s">
        <v>672</v>
      </c>
      <c r="B118" t="s">
        <v>222</v>
      </c>
      <c r="C118" s="3">
        <v>-8.0500000000000007</v>
      </c>
      <c r="D118" s="3">
        <v>-34.9</v>
      </c>
      <c r="E118" t="s">
        <v>15</v>
      </c>
      <c r="F118" t="s">
        <v>34</v>
      </c>
      <c r="G118" t="s">
        <v>106</v>
      </c>
      <c r="H118">
        <v>45</v>
      </c>
      <c r="I118" t="s">
        <v>15</v>
      </c>
      <c r="J118" t="s">
        <v>15</v>
      </c>
      <c r="K118" t="s">
        <v>15</v>
      </c>
      <c r="L118" t="s">
        <v>667</v>
      </c>
      <c r="M118" t="s">
        <v>853</v>
      </c>
      <c r="O118">
        <v>7.2</v>
      </c>
      <c r="FV118">
        <v>1</v>
      </c>
      <c r="FW118">
        <v>1</v>
      </c>
      <c r="FX118">
        <v>1</v>
      </c>
    </row>
    <row r="119" spans="1:180" x14ac:dyDescent="0.25">
      <c r="A119" t="s">
        <v>258</v>
      </c>
      <c r="B119" t="s">
        <v>222</v>
      </c>
      <c r="C119" s="3">
        <v>-22.9027777777778</v>
      </c>
      <c r="D119" s="3">
        <v>-43.207500000000003</v>
      </c>
      <c r="E119" t="s">
        <v>12</v>
      </c>
      <c r="F119" t="s">
        <v>22</v>
      </c>
      <c r="G119" t="s">
        <v>690</v>
      </c>
      <c r="I119" t="s">
        <v>15</v>
      </c>
      <c r="J119" t="s">
        <v>15</v>
      </c>
      <c r="K119" t="s">
        <v>15</v>
      </c>
      <c r="L119" t="s">
        <v>795</v>
      </c>
      <c r="M119" t="s">
        <v>794</v>
      </c>
      <c r="O119">
        <v>20</v>
      </c>
      <c r="P119">
        <v>11</v>
      </c>
      <c r="FI119">
        <v>1</v>
      </c>
      <c r="FJ119">
        <v>1</v>
      </c>
      <c r="FK119">
        <v>1</v>
      </c>
      <c r="FL119">
        <v>1</v>
      </c>
      <c r="FM119">
        <v>1</v>
      </c>
      <c r="FN119">
        <v>1</v>
      </c>
      <c r="FO119">
        <v>1</v>
      </c>
      <c r="FP119">
        <v>1</v>
      </c>
      <c r="FQ119">
        <v>1</v>
      </c>
      <c r="FR119">
        <v>1</v>
      </c>
      <c r="FS119">
        <v>1</v>
      </c>
      <c r="FT119">
        <v>1</v>
      </c>
      <c r="FU119">
        <v>1</v>
      </c>
      <c r="FV119">
        <v>1</v>
      </c>
      <c r="FW119">
        <v>1</v>
      </c>
      <c r="FX119">
        <v>1</v>
      </c>
    </row>
    <row r="120" spans="1:180" x14ac:dyDescent="0.25">
      <c r="A120" t="s">
        <v>258</v>
      </c>
      <c r="B120" t="s">
        <v>222</v>
      </c>
      <c r="C120" s="3">
        <v>-22.8</v>
      </c>
      <c r="D120" s="3">
        <v>-43.2</v>
      </c>
      <c r="E120" t="s">
        <v>15</v>
      </c>
      <c r="F120" t="s">
        <v>34</v>
      </c>
      <c r="G120" t="s">
        <v>106</v>
      </c>
      <c r="H120">
        <v>45</v>
      </c>
      <c r="I120" t="s">
        <v>15</v>
      </c>
      <c r="J120" t="s">
        <v>15</v>
      </c>
      <c r="K120" t="s">
        <v>15</v>
      </c>
      <c r="L120" t="s">
        <v>667</v>
      </c>
      <c r="M120" t="s">
        <v>853</v>
      </c>
      <c r="O120">
        <v>19.8</v>
      </c>
      <c r="FJ120">
        <v>1</v>
      </c>
      <c r="FK120">
        <v>1</v>
      </c>
      <c r="FL120">
        <v>1</v>
      </c>
    </row>
    <row r="121" spans="1:180" x14ac:dyDescent="0.25">
      <c r="A121" t="s">
        <v>258</v>
      </c>
      <c r="B121" t="s">
        <v>222</v>
      </c>
      <c r="C121" s="3">
        <v>-22.8</v>
      </c>
      <c r="D121" s="3">
        <v>-43.2</v>
      </c>
      <c r="E121" t="s">
        <v>15</v>
      </c>
      <c r="F121" t="s">
        <v>34</v>
      </c>
      <c r="G121" t="s">
        <v>106</v>
      </c>
      <c r="H121">
        <v>45</v>
      </c>
      <c r="I121" t="s">
        <v>15</v>
      </c>
      <c r="J121" t="s">
        <v>15</v>
      </c>
      <c r="K121" t="s">
        <v>15</v>
      </c>
      <c r="L121" t="s">
        <v>667</v>
      </c>
      <c r="M121" t="s">
        <v>853</v>
      </c>
      <c r="O121">
        <v>14.7</v>
      </c>
      <c r="FM121">
        <v>1</v>
      </c>
      <c r="FN121">
        <v>1</v>
      </c>
      <c r="FO121">
        <v>1</v>
      </c>
    </row>
    <row r="122" spans="1:180" x14ac:dyDescent="0.25">
      <c r="A122" t="s">
        <v>258</v>
      </c>
      <c r="B122" t="s">
        <v>222</v>
      </c>
      <c r="C122" s="3">
        <v>-22.8</v>
      </c>
      <c r="D122" s="3">
        <v>-43.2</v>
      </c>
      <c r="E122" t="s">
        <v>15</v>
      </c>
      <c r="F122" t="s">
        <v>34</v>
      </c>
      <c r="G122" t="s">
        <v>106</v>
      </c>
      <c r="H122">
        <v>45</v>
      </c>
      <c r="I122" t="s">
        <v>15</v>
      </c>
      <c r="J122" t="s">
        <v>15</v>
      </c>
      <c r="K122" t="s">
        <v>15</v>
      </c>
      <c r="L122" t="s">
        <v>667</v>
      </c>
      <c r="M122" t="s">
        <v>853</v>
      </c>
      <c r="O122">
        <v>12.4</v>
      </c>
      <c r="FP122">
        <v>1</v>
      </c>
      <c r="FQ122">
        <v>1</v>
      </c>
      <c r="FR122">
        <v>1</v>
      </c>
    </row>
    <row r="123" spans="1:180" x14ac:dyDescent="0.25">
      <c r="A123" t="s">
        <v>258</v>
      </c>
      <c r="B123" t="s">
        <v>222</v>
      </c>
      <c r="C123" s="3">
        <v>-22.8</v>
      </c>
      <c r="D123" s="3">
        <v>-43.2</v>
      </c>
      <c r="E123" t="s">
        <v>15</v>
      </c>
      <c r="F123" t="s">
        <v>34</v>
      </c>
      <c r="G123" t="s">
        <v>106</v>
      </c>
      <c r="H123">
        <v>45</v>
      </c>
      <c r="I123" t="s">
        <v>15</v>
      </c>
      <c r="J123" t="s">
        <v>15</v>
      </c>
      <c r="K123" t="s">
        <v>15</v>
      </c>
      <c r="L123" t="s">
        <v>667</v>
      </c>
      <c r="M123" t="s">
        <v>853</v>
      </c>
      <c r="O123">
        <v>17.3</v>
      </c>
      <c r="FS123">
        <v>1</v>
      </c>
      <c r="FT123">
        <v>1</v>
      </c>
      <c r="FU123">
        <v>1</v>
      </c>
    </row>
    <row r="124" spans="1:180" x14ac:dyDescent="0.25">
      <c r="A124" t="s">
        <v>258</v>
      </c>
      <c r="B124" t="s">
        <v>222</v>
      </c>
      <c r="C124" s="3">
        <v>-22.8</v>
      </c>
      <c r="D124" s="3">
        <v>-43.2</v>
      </c>
      <c r="E124" t="s">
        <v>15</v>
      </c>
      <c r="F124" t="s">
        <v>34</v>
      </c>
      <c r="G124" t="s">
        <v>106</v>
      </c>
      <c r="H124">
        <v>45</v>
      </c>
      <c r="I124" t="s">
        <v>15</v>
      </c>
      <c r="J124" t="s">
        <v>15</v>
      </c>
      <c r="K124" t="s">
        <v>15</v>
      </c>
      <c r="L124" t="s">
        <v>667</v>
      </c>
      <c r="M124" t="s">
        <v>853</v>
      </c>
      <c r="O124">
        <v>19.899999999999999</v>
      </c>
      <c r="FV124">
        <v>1</v>
      </c>
      <c r="FW124">
        <v>1</v>
      </c>
      <c r="FX124">
        <v>1</v>
      </c>
    </row>
    <row r="125" spans="1:180" x14ac:dyDescent="0.25">
      <c r="A125" t="s">
        <v>258</v>
      </c>
      <c r="B125" t="s">
        <v>222</v>
      </c>
      <c r="C125" s="3">
        <v>-22.98</v>
      </c>
      <c r="D125" s="3">
        <v>-43.22</v>
      </c>
      <c r="E125" t="s">
        <v>34</v>
      </c>
      <c r="F125" t="s">
        <v>77</v>
      </c>
      <c r="G125" t="s">
        <v>106</v>
      </c>
      <c r="H125">
        <v>55</v>
      </c>
      <c r="I125" t="s">
        <v>15</v>
      </c>
      <c r="J125" t="s">
        <v>15</v>
      </c>
      <c r="K125" t="s">
        <v>15</v>
      </c>
      <c r="L125" t="s">
        <v>603</v>
      </c>
      <c r="M125" t="s">
        <v>877</v>
      </c>
      <c r="O125">
        <v>7.3</v>
      </c>
      <c r="P125">
        <v>4</v>
      </c>
      <c r="DQ125">
        <v>1</v>
      </c>
      <c r="DR125">
        <v>1</v>
      </c>
      <c r="DS125">
        <v>1</v>
      </c>
      <c r="DW125">
        <v>1</v>
      </c>
      <c r="DX125">
        <v>1</v>
      </c>
      <c r="DY125">
        <v>1</v>
      </c>
      <c r="DZ125">
        <v>1</v>
      </c>
      <c r="EA125">
        <v>1</v>
      </c>
      <c r="EB125">
        <v>1</v>
      </c>
      <c r="EC125">
        <v>1</v>
      </c>
      <c r="ED125">
        <v>1</v>
      </c>
      <c r="EE125">
        <v>1</v>
      </c>
      <c r="EF125">
        <v>1</v>
      </c>
      <c r="EJ125">
        <v>1</v>
      </c>
      <c r="EK125">
        <v>1</v>
      </c>
      <c r="EL125">
        <v>1</v>
      </c>
      <c r="EM125">
        <v>1</v>
      </c>
      <c r="EN125">
        <v>1</v>
      </c>
      <c r="EO125">
        <v>1</v>
      </c>
      <c r="EP125">
        <v>1</v>
      </c>
      <c r="EQ125">
        <v>1</v>
      </c>
      <c r="ER125">
        <v>1</v>
      </c>
    </row>
    <row r="126" spans="1:180" x14ac:dyDescent="0.25">
      <c r="A126" t="s">
        <v>258</v>
      </c>
      <c r="B126" t="s">
        <v>222</v>
      </c>
      <c r="C126" s="3">
        <v>-22.91</v>
      </c>
      <c r="D126" s="3">
        <v>-43.21</v>
      </c>
      <c r="E126" t="s">
        <v>34</v>
      </c>
      <c r="F126" t="s">
        <v>77</v>
      </c>
      <c r="G126" t="s">
        <v>106</v>
      </c>
      <c r="H126">
        <v>55</v>
      </c>
      <c r="I126" t="s">
        <v>15</v>
      </c>
      <c r="J126" t="s">
        <v>15</v>
      </c>
      <c r="K126" t="s">
        <v>15</v>
      </c>
      <c r="L126" t="s">
        <v>603</v>
      </c>
      <c r="M126" t="s">
        <v>877</v>
      </c>
      <c r="O126">
        <v>9.8000000000000007</v>
      </c>
      <c r="P126">
        <v>4.9000000000000004</v>
      </c>
      <c r="DQ126">
        <v>1</v>
      </c>
      <c r="DR126">
        <v>1</v>
      </c>
      <c r="DS126">
        <v>1</v>
      </c>
      <c r="DW126">
        <v>1</v>
      </c>
      <c r="DX126">
        <v>1</v>
      </c>
      <c r="DY126">
        <v>1</v>
      </c>
      <c r="DZ126">
        <v>1</v>
      </c>
      <c r="EA126">
        <v>1</v>
      </c>
      <c r="EB126">
        <v>1</v>
      </c>
      <c r="EC126">
        <v>1</v>
      </c>
      <c r="ED126">
        <v>1</v>
      </c>
      <c r="EE126">
        <v>1</v>
      </c>
      <c r="EF126">
        <v>1</v>
      </c>
      <c r="EJ126">
        <v>1</v>
      </c>
      <c r="EK126">
        <v>1</v>
      </c>
      <c r="EL126">
        <v>1</v>
      </c>
      <c r="EM126">
        <v>1</v>
      </c>
      <c r="EN126">
        <v>1</v>
      </c>
      <c r="EO126">
        <v>1</v>
      </c>
      <c r="EP126">
        <v>1</v>
      </c>
      <c r="EQ126">
        <v>1</v>
      </c>
      <c r="ER126">
        <v>1</v>
      </c>
    </row>
    <row r="127" spans="1:180" x14ac:dyDescent="0.25">
      <c r="A127" t="s">
        <v>258</v>
      </c>
      <c r="B127" t="s">
        <v>222</v>
      </c>
      <c r="C127" s="3">
        <v>-22.87</v>
      </c>
      <c r="D127" s="3">
        <v>-43.22</v>
      </c>
      <c r="E127" t="s">
        <v>34</v>
      </c>
      <c r="F127" t="s">
        <v>77</v>
      </c>
      <c r="G127" t="s">
        <v>106</v>
      </c>
      <c r="H127">
        <v>55</v>
      </c>
      <c r="I127" t="s">
        <v>15</v>
      </c>
      <c r="J127" t="s">
        <v>15</v>
      </c>
      <c r="K127" t="s">
        <v>15</v>
      </c>
      <c r="L127" t="s">
        <v>603</v>
      </c>
      <c r="M127" t="s">
        <v>877</v>
      </c>
      <c r="O127">
        <v>11.1</v>
      </c>
      <c r="P127">
        <v>6</v>
      </c>
      <c r="DQ127">
        <v>1</v>
      </c>
      <c r="DR127">
        <v>1</v>
      </c>
      <c r="DS127">
        <v>1</v>
      </c>
      <c r="DW127">
        <v>1</v>
      </c>
      <c r="DX127">
        <v>1</v>
      </c>
      <c r="DY127">
        <v>1</v>
      </c>
      <c r="DZ127">
        <v>1</v>
      </c>
      <c r="EA127">
        <v>1</v>
      </c>
      <c r="EB127">
        <v>1</v>
      </c>
      <c r="EC127">
        <v>1</v>
      </c>
      <c r="ED127">
        <v>1</v>
      </c>
      <c r="EE127">
        <v>1</v>
      </c>
      <c r="EF127">
        <v>1</v>
      </c>
      <c r="EJ127">
        <v>1</v>
      </c>
      <c r="EK127">
        <v>1</v>
      </c>
      <c r="EL127">
        <v>1</v>
      </c>
      <c r="EM127">
        <v>1</v>
      </c>
      <c r="EN127">
        <v>1</v>
      </c>
      <c r="EO127">
        <v>1</v>
      </c>
      <c r="EP127">
        <v>1</v>
      </c>
      <c r="EQ127">
        <v>1</v>
      </c>
      <c r="ER127">
        <v>1</v>
      </c>
    </row>
    <row r="128" spans="1:180" x14ac:dyDescent="0.25">
      <c r="A128" t="s">
        <v>258</v>
      </c>
      <c r="B128" t="s">
        <v>222</v>
      </c>
      <c r="C128" s="3">
        <v>-23</v>
      </c>
      <c r="D128" s="3">
        <v>-43.42</v>
      </c>
      <c r="E128" t="s">
        <v>34</v>
      </c>
      <c r="F128" t="s">
        <v>77</v>
      </c>
      <c r="G128" t="s">
        <v>106</v>
      </c>
      <c r="H128">
        <v>55</v>
      </c>
      <c r="I128" t="s">
        <v>15</v>
      </c>
      <c r="J128" t="s">
        <v>15</v>
      </c>
      <c r="K128" t="s">
        <v>15</v>
      </c>
      <c r="L128" t="s">
        <v>603</v>
      </c>
      <c r="M128" t="s">
        <v>877</v>
      </c>
      <c r="O128">
        <v>7.7</v>
      </c>
      <c r="P128">
        <v>4.9000000000000004</v>
      </c>
      <c r="DQ128">
        <v>1</v>
      </c>
      <c r="DR128">
        <v>1</v>
      </c>
      <c r="DS128">
        <v>1</v>
      </c>
      <c r="DW128">
        <v>1</v>
      </c>
      <c r="DX128">
        <v>1</v>
      </c>
      <c r="DY128">
        <v>1</v>
      </c>
      <c r="DZ128">
        <v>1</v>
      </c>
      <c r="EA128">
        <v>1</v>
      </c>
      <c r="EB128">
        <v>1</v>
      </c>
      <c r="EC128">
        <v>1</v>
      </c>
      <c r="ED128">
        <v>1</v>
      </c>
      <c r="EE128">
        <v>1</v>
      </c>
      <c r="EF128">
        <v>1</v>
      </c>
      <c r="EJ128">
        <v>1</v>
      </c>
      <c r="EK128">
        <v>1</v>
      </c>
      <c r="EL128">
        <v>1</v>
      </c>
      <c r="EM128">
        <v>1</v>
      </c>
      <c r="EN128">
        <v>1</v>
      </c>
      <c r="EO128">
        <v>1</v>
      </c>
      <c r="EP128">
        <v>1</v>
      </c>
      <c r="EQ128">
        <v>1</v>
      </c>
      <c r="ER128">
        <v>1</v>
      </c>
    </row>
    <row r="129" spans="1:215" x14ac:dyDescent="0.25">
      <c r="A129" t="s">
        <v>258</v>
      </c>
      <c r="B129" t="s">
        <v>222</v>
      </c>
      <c r="C129" s="3">
        <v>-22.94</v>
      </c>
      <c r="D129" s="3">
        <v>-43.36</v>
      </c>
      <c r="E129" t="s">
        <v>34</v>
      </c>
      <c r="F129" t="s">
        <v>77</v>
      </c>
      <c r="G129" t="s">
        <v>106</v>
      </c>
      <c r="H129">
        <v>55</v>
      </c>
      <c r="I129" t="s">
        <v>15</v>
      </c>
      <c r="J129" t="s">
        <v>15</v>
      </c>
      <c r="K129" t="s">
        <v>15</v>
      </c>
      <c r="L129" t="s">
        <v>603</v>
      </c>
      <c r="M129" t="s">
        <v>877</v>
      </c>
      <c r="O129">
        <v>11.4</v>
      </c>
      <c r="P129">
        <v>4.5999999999999996</v>
      </c>
      <c r="DQ129">
        <v>1</v>
      </c>
      <c r="DR129">
        <v>1</v>
      </c>
      <c r="DS129">
        <v>1</v>
      </c>
      <c r="DW129">
        <v>1</v>
      </c>
      <c r="DX129">
        <v>1</v>
      </c>
      <c r="DY129">
        <v>1</v>
      </c>
      <c r="DZ129">
        <v>1</v>
      </c>
      <c r="EA129">
        <v>1</v>
      </c>
      <c r="EB129">
        <v>1</v>
      </c>
      <c r="EC129">
        <v>1</v>
      </c>
      <c r="ED129">
        <v>1</v>
      </c>
      <c r="EE129">
        <v>1</v>
      </c>
      <c r="EF129">
        <v>1</v>
      </c>
      <c r="EJ129">
        <v>1</v>
      </c>
      <c r="EK129">
        <v>1</v>
      </c>
      <c r="EL129">
        <v>1</v>
      </c>
      <c r="EM129">
        <v>1</v>
      </c>
      <c r="EN129">
        <v>1</v>
      </c>
      <c r="EO129">
        <v>1</v>
      </c>
      <c r="EP129">
        <v>1</v>
      </c>
      <c r="EQ129">
        <v>1</v>
      </c>
      <c r="ER129">
        <v>1</v>
      </c>
    </row>
    <row r="130" spans="1:215" x14ac:dyDescent="0.25">
      <c r="A130" t="s">
        <v>258</v>
      </c>
      <c r="B130" t="s">
        <v>222</v>
      </c>
      <c r="C130" s="3">
        <v>-22.81</v>
      </c>
      <c r="D130" s="3">
        <v>-43.4</v>
      </c>
      <c r="E130" t="s">
        <v>34</v>
      </c>
      <c r="F130" t="s">
        <v>77</v>
      </c>
      <c r="G130" t="s">
        <v>106</v>
      </c>
      <c r="H130">
        <v>55</v>
      </c>
      <c r="I130" t="s">
        <v>15</v>
      </c>
      <c r="J130" t="s">
        <v>15</v>
      </c>
      <c r="K130" t="s">
        <v>15</v>
      </c>
      <c r="L130" t="s">
        <v>603</v>
      </c>
      <c r="M130" t="s">
        <v>877</v>
      </c>
      <c r="O130">
        <v>10.5</v>
      </c>
      <c r="P130">
        <v>4.5999999999999996</v>
      </c>
      <c r="DQ130">
        <v>1</v>
      </c>
      <c r="DR130">
        <v>1</v>
      </c>
      <c r="DS130">
        <v>1</v>
      </c>
      <c r="DW130">
        <v>1</v>
      </c>
      <c r="DX130">
        <v>1</v>
      </c>
      <c r="DY130">
        <v>1</v>
      </c>
      <c r="DZ130">
        <v>1</v>
      </c>
      <c r="EA130">
        <v>1</v>
      </c>
      <c r="EB130">
        <v>1</v>
      </c>
      <c r="EC130">
        <v>1</v>
      </c>
      <c r="ED130">
        <v>1</v>
      </c>
      <c r="EE130">
        <v>1</v>
      </c>
      <c r="EF130">
        <v>1</v>
      </c>
      <c r="EJ130">
        <v>1</v>
      </c>
      <c r="EK130">
        <v>1</v>
      </c>
      <c r="EL130">
        <v>1</v>
      </c>
      <c r="EM130">
        <v>1</v>
      </c>
      <c r="EN130">
        <v>1</v>
      </c>
      <c r="EO130">
        <v>1</v>
      </c>
      <c r="EP130">
        <v>1</v>
      </c>
      <c r="EQ130">
        <v>1</v>
      </c>
      <c r="ER130">
        <v>1</v>
      </c>
    </row>
    <row r="131" spans="1:215" x14ac:dyDescent="0.25">
      <c r="A131" t="s">
        <v>258</v>
      </c>
      <c r="B131" t="s">
        <v>222</v>
      </c>
      <c r="C131" s="3">
        <v>-22.99</v>
      </c>
      <c r="D131" s="3">
        <v>-43.55</v>
      </c>
      <c r="E131" t="s">
        <v>34</v>
      </c>
      <c r="F131" t="s">
        <v>77</v>
      </c>
      <c r="G131" t="s">
        <v>106</v>
      </c>
      <c r="H131">
        <v>55</v>
      </c>
      <c r="I131" t="s">
        <v>15</v>
      </c>
      <c r="J131" t="s">
        <v>15</v>
      </c>
      <c r="K131" t="s">
        <v>15</v>
      </c>
      <c r="L131" t="s">
        <v>603</v>
      </c>
      <c r="M131" t="s">
        <v>877</v>
      </c>
      <c r="O131">
        <v>7.9</v>
      </c>
      <c r="P131">
        <v>5</v>
      </c>
      <c r="DQ131">
        <v>1</v>
      </c>
      <c r="DR131">
        <v>1</v>
      </c>
      <c r="DS131">
        <v>1</v>
      </c>
      <c r="DW131">
        <v>1</v>
      </c>
      <c r="DX131">
        <v>1</v>
      </c>
      <c r="DY131">
        <v>1</v>
      </c>
      <c r="DZ131">
        <v>1</v>
      </c>
      <c r="EA131">
        <v>1</v>
      </c>
      <c r="EB131">
        <v>1</v>
      </c>
      <c r="EC131">
        <v>1</v>
      </c>
      <c r="ED131">
        <v>1</v>
      </c>
      <c r="EE131">
        <v>1</v>
      </c>
      <c r="EF131">
        <v>1</v>
      </c>
      <c r="EJ131">
        <v>1</v>
      </c>
      <c r="EK131">
        <v>1</v>
      </c>
      <c r="EL131">
        <v>1</v>
      </c>
      <c r="EM131">
        <v>1</v>
      </c>
      <c r="EN131">
        <v>1</v>
      </c>
      <c r="EO131">
        <v>1</v>
      </c>
      <c r="EP131">
        <v>1</v>
      </c>
      <c r="EQ131">
        <v>1</v>
      </c>
      <c r="ER131">
        <v>1</v>
      </c>
    </row>
    <row r="132" spans="1:215" x14ac:dyDescent="0.25">
      <c r="A132" t="s">
        <v>258</v>
      </c>
      <c r="B132" t="s">
        <v>222</v>
      </c>
      <c r="C132" s="3">
        <v>-22.89</v>
      </c>
      <c r="D132" s="3">
        <v>-43.58</v>
      </c>
      <c r="E132" t="s">
        <v>34</v>
      </c>
      <c r="F132" t="s">
        <v>77</v>
      </c>
      <c r="G132" t="s">
        <v>106</v>
      </c>
      <c r="H132">
        <v>55</v>
      </c>
      <c r="I132" t="s">
        <v>15</v>
      </c>
      <c r="J132" t="s">
        <v>15</v>
      </c>
      <c r="K132" t="s">
        <v>15</v>
      </c>
      <c r="L132" t="s">
        <v>603</v>
      </c>
      <c r="M132" t="s">
        <v>877</v>
      </c>
      <c r="O132">
        <v>10.5</v>
      </c>
      <c r="P132">
        <v>4.7</v>
      </c>
      <c r="DQ132">
        <v>1</v>
      </c>
      <c r="DR132">
        <v>1</v>
      </c>
      <c r="DS132">
        <v>1</v>
      </c>
      <c r="DW132">
        <v>1</v>
      </c>
      <c r="DX132">
        <v>1</v>
      </c>
      <c r="DY132">
        <v>1</v>
      </c>
      <c r="DZ132">
        <v>1</v>
      </c>
      <c r="EA132">
        <v>1</v>
      </c>
      <c r="EB132">
        <v>1</v>
      </c>
      <c r="EC132">
        <v>1</v>
      </c>
      <c r="ED132">
        <v>1</v>
      </c>
      <c r="EE132">
        <v>1</v>
      </c>
      <c r="EF132">
        <v>1</v>
      </c>
      <c r="EJ132">
        <v>1</v>
      </c>
      <c r="EK132">
        <v>1</v>
      </c>
      <c r="EL132">
        <v>1</v>
      </c>
      <c r="EM132">
        <v>1</v>
      </c>
      <c r="EN132">
        <v>1</v>
      </c>
      <c r="EO132">
        <v>1</v>
      </c>
      <c r="EP132">
        <v>1</v>
      </c>
      <c r="EQ132">
        <v>1</v>
      </c>
      <c r="ER132">
        <v>1</v>
      </c>
    </row>
    <row r="133" spans="1:215" x14ac:dyDescent="0.25">
      <c r="A133" t="s">
        <v>258</v>
      </c>
      <c r="B133" t="s">
        <v>222</v>
      </c>
      <c r="C133" s="3">
        <v>-22.88</v>
      </c>
      <c r="D133" s="3">
        <v>-43.42</v>
      </c>
      <c r="E133" t="s">
        <v>34</v>
      </c>
      <c r="F133" t="s">
        <v>77</v>
      </c>
      <c r="G133" t="s">
        <v>106</v>
      </c>
      <c r="H133">
        <v>55</v>
      </c>
      <c r="I133" t="s">
        <v>15</v>
      </c>
      <c r="J133" t="s">
        <v>15</v>
      </c>
      <c r="K133" t="s">
        <v>15</v>
      </c>
      <c r="L133" t="s">
        <v>603</v>
      </c>
      <c r="M133" t="s">
        <v>877</v>
      </c>
      <c r="O133">
        <v>11</v>
      </c>
      <c r="P133">
        <v>5.5</v>
      </c>
      <c r="DQ133">
        <v>1</v>
      </c>
      <c r="DR133">
        <v>1</v>
      </c>
      <c r="DS133">
        <v>1</v>
      </c>
      <c r="DW133">
        <v>1</v>
      </c>
      <c r="DX133">
        <v>1</v>
      </c>
      <c r="DY133">
        <v>1</v>
      </c>
      <c r="DZ133">
        <v>1</v>
      </c>
      <c r="EA133">
        <v>1</v>
      </c>
      <c r="EB133">
        <v>1</v>
      </c>
      <c r="EC133">
        <v>1</v>
      </c>
      <c r="ED133">
        <v>1</v>
      </c>
      <c r="EE133">
        <v>1</v>
      </c>
      <c r="EF133">
        <v>1</v>
      </c>
      <c r="EJ133">
        <v>1</v>
      </c>
      <c r="EK133">
        <v>1</v>
      </c>
      <c r="EL133">
        <v>1</v>
      </c>
      <c r="EM133">
        <v>1</v>
      </c>
      <c r="EN133">
        <v>1</v>
      </c>
      <c r="EO133">
        <v>1</v>
      </c>
      <c r="EP133">
        <v>1</v>
      </c>
      <c r="EQ133">
        <v>1</v>
      </c>
      <c r="ER133">
        <v>1</v>
      </c>
    </row>
    <row r="134" spans="1:215" x14ac:dyDescent="0.25">
      <c r="A134" t="s">
        <v>258</v>
      </c>
      <c r="B134" t="s">
        <v>222</v>
      </c>
      <c r="C134" s="3">
        <v>-22.94</v>
      </c>
      <c r="D134" s="3">
        <v>-43.67</v>
      </c>
      <c r="E134" t="s">
        <v>34</v>
      </c>
      <c r="F134" t="s">
        <v>77</v>
      </c>
      <c r="G134" t="s">
        <v>106</v>
      </c>
      <c r="H134">
        <v>55</v>
      </c>
      <c r="I134" t="s">
        <v>15</v>
      </c>
      <c r="J134" t="s">
        <v>15</v>
      </c>
      <c r="K134" t="s">
        <v>15</v>
      </c>
      <c r="L134" t="s">
        <v>603</v>
      </c>
      <c r="M134" t="s">
        <v>877</v>
      </c>
      <c r="O134">
        <v>10.3</v>
      </c>
      <c r="P134">
        <v>4.9000000000000004</v>
      </c>
      <c r="DQ134">
        <v>1</v>
      </c>
      <c r="DR134">
        <v>1</v>
      </c>
      <c r="DS134">
        <v>1</v>
      </c>
      <c r="DW134">
        <v>1</v>
      </c>
      <c r="DX134">
        <v>1</v>
      </c>
      <c r="DY134">
        <v>1</v>
      </c>
      <c r="DZ134">
        <v>1</v>
      </c>
      <c r="EA134">
        <v>1</v>
      </c>
      <c r="EB134">
        <v>1</v>
      </c>
      <c r="EC134">
        <v>1</v>
      </c>
      <c r="ED134">
        <v>1</v>
      </c>
      <c r="EE134">
        <v>1</v>
      </c>
      <c r="EF134">
        <v>1</v>
      </c>
      <c r="EJ134">
        <v>1</v>
      </c>
      <c r="EK134">
        <v>1</v>
      </c>
      <c r="EL134">
        <v>1</v>
      </c>
      <c r="EM134">
        <v>1</v>
      </c>
      <c r="EN134">
        <v>1</v>
      </c>
      <c r="EO134">
        <v>1</v>
      </c>
      <c r="EP134">
        <v>1</v>
      </c>
      <c r="EQ134">
        <v>1</v>
      </c>
      <c r="ER134">
        <v>1</v>
      </c>
    </row>
    <row r="135" spans="1:215" x14ac:dyDescent="0.25">
      <c r="A135" t="s">
        <v>258</v>
      </c>
      <c r="B135" t="s">
        <v>222</v>
      </c>
      <c r="C135" s="3">
        <v>-22.84</v>
      </c>
      <c r="D135" s="3">
        <v>-43.33</v>
      </c>
      <c r="E135" t="s">
        <v>12</v>
      </c>
      <c r="F135" t="s">
        <v>77</v>
      </c>
      <c r="G135" t="s">
        <v>106</v>
      </c>
      <c r="I135" t="s">
        <v>12</v>
      </c>
      <c r="J135" t="s">
        <v>12</v>
      </c>
      <c r="K135" t="s">
        <v>15</v>
      </c>
      <c r="L135" t="s">
        <v>447</v>
      </c>
      <c r="M135" t="s">
        <v>976</v>
      </c>
      <c r="O135">
        <v>29.2</v>
      </c>
      <c r="GC135">
        <v>1</v>
      </c>
      <c r="GD135">
        <v>1</v>
      </c>
      <c r="GE135">
        <v>1</v>
      </c>
      <c r="GF135">
        <v>1</v>
      </c>
    </row>
    <row r="136" spans="1:215" x14ac:dyDescent="0.25">
      <c r="A136" t="s">
        <v>258</v>
      </c>
      <c r="B136" t="s">
        <v>222</v>
      </c>
      <c r="C136" s="3">
        <f>-(22+53/60+49/3600)</f>
        <v>-22.896944444444443</v>
      </c>
      <c r="D136" s="3">
        <f>-(43+7/60+51/3600)</f>
        <v>-43.130833333333335</v>
      </c>
      <c r="E136" t="s">
        <v>15</v>
      </c>
      <c r="F136" t="s">
        <v>77</v>
      </c>
      <c r="G136" t="s">
        <v>106</v>
      </c>
      <c r="I136" t="s">
        <v>12</v>
      </c>
      <c r="J136" t="s">
        <v>12</v>
      </c>
      <c r="K136" t="s">
        <v>12</v>
      </c>
      <c r="L136" t="s">
        <v>441</v>
      </c>
      <c r="M136" t="s">
        <v>980</v>
      </c>
      <c r="O136">
        <v>13.4</v>
      </c>
      <c r="P136">
        <v>6.9</v>
      </c>
      <c r="BJ136">
        <v>1</v>
      </c>
      <c r="BQ136">
        <v>1</v>
      </c>
      <c r="BR136">
        <v>1</v>
      </c>
      <c r="BS136">
        <v>1</v>
      </c>
      <c r="BT136">
        <v>1</v>
      </c>
      <c r="BU136">
        <v>1</v>
      </c>
    </row>
    <row r="137" spans="1:215" x14ac:dyDescent="0.25">
      <c r="A137" t="s">
        <v>258</v>
      </c>
      <c r="B137" t="s">
        <v>222</v>
      </c>
      <c r="C137" s="3">
        <f>-(22+53/60+49/3600)</f>
        <v>-22.896944444444443</v>
      </c>
      <c r="D137" s="3">
        <f>-(43+7/60+51/3600)</f>
        <v>-43.130833333333335</v>
      </c>
      <c r="E137" t="s">
        <v>15</v>
      </c>
      <c r="F137" t="s">
        <v>77</v>
      </c>
      <c r="G137" t="s">
        <v>106</v>
      </c>
      <c r="I137" t="s">
        <v>12</v>
      </c>
      <c r="J137" t="s">
        <v>12</v>
      </c>
      <c r="K137" t="s">
        <v>12</v>
      </c>
      <c r="L137" t="s">
        <v>441</v>
      </c>
      <c r="M137" t="s">
        <v>980</v>
      </c>
      <c r="O137">
        <v>24.4</v>
      </c>
      <c r="P137">
        <v>18.8</v>
      </c>
      <c r="BK137">
        <v>1</v>
      </c>
      <c r="BL137">
        <v>1</v>
      </c>
      <c r="BM137">
        <v>1</v>
      </c>
      <c r="BN137">
        <v>1</v>
      </c>
      <c r="BO137">
        <v>1</v>
      </c>
      <c r="BP137">
        <v>1</v>
      </c>
    </row>
    <row r="138" spans="1:215" x14ac:dyDescent="0.25">
      <c r="A138" t="s">
        <v>258</v>
      </c>
      <c r="B138" t="s">
        <v>222</v>
      </c>
      <c r="C138" s="3">
        <v>-22.74</v>
      </c>
      <c r="D138" s="3">
        <v>-43.7</v>
      </c>
      <c r="E138" t="s">
        <v>12</v>
      </c>
      <c r="F138" t="s">
        <v>20</v>
      </c>
      <c r="G138" t="s">
        <v>106</v>
      </c>
      <c r="I138" t="s">
        <v>12</v>
      </c>
      <c r="J138" t="s">
        <v>15</v>
      </c>
      <c r="K138" t="s">
        <v>15</v>
      </c>
      <c r="L138" t="s">
        <v>437</v>
      </c>
      <c r="M138" t="s">
        <v>984</v>
      </c>
      <c r="O138">
        <v>12.1</v>
      </c>
      <c r="P138">
        <v>7.4</v>
      </c>
      <c r="GV138">
        <v>1</v>
      </c>
      <c r="GW138">
        <v>1</v>
      </c>
      <c r="GX138">
        <v>1</v>
      </c>
      <c r="GY138">
        <v>1</v>
      </c>
      <c r="GZ138">
        <v>1</v>
      </c>
      <c r="HA138">
        <v>1</v>
      </c>
      <c r="HB138">
        <v>1</v>
      </c>
      <c r="HC138">
        <v>1</v>
      </c>
      <c r="HD138">
        <v>1</v>
      </c>
      <c r="HE138">
        <v>1</v>
      </c>
      <c r="HF138">
        <v>1</v>
      </c>
      <c r="HG138">
        <v>1</v>
      </c>
    </row>
    <row r="139" spans="1:215" x14ac:dyDescent="0.25">
      <c r="A139" t="s">
        <v>258</v>
      </c>
      <c r="B139" t="s">
        <v>222</v>
      </c>
      <c r="C139" s="3">
        <v>-22.92</v>
      </c>
      <c r="D139" s="3">
        <v>-43.68</v>
      </c>
      <c r="E139" t="s">
        <v>12</v>
      </c>
      <c r="F139" t="s">
        <v>21</v>
      </c>
      <c r="G139" t="s">
        <v>106</v>
      </c>
      <c r="I139" t="s">
        <v>12</v>
      </c>
      <c r="J139" t="s">
        <v>15</v>
      </c>
      <c r="K139" t="s">
        <v>15</v>
      </c>
      <c r="L139" t="s">
        <v>437</v>
      </c>
      <c r="M139" t="s">
        <v>984</v>
      </c>
      <c r="O139">
        <v>12.4</v>
      </c>
      <c r="P139">
        <v>8.8000000000000007</v>
      </c>
      <c r="GV139">
        <v>1</v>
      </c>
      <c r="GW139">
        <v>1</v>
      </c>
      <c r="GX139">
        <v>1</v>
      </c>
      <c r="GY139">
        <v>1</v>
      </c>
      <c r="GZ139">
        <v>1</v>
      </c>
      <c r="HA139">
        <v>1</v>
      </c>
      <c r="HB139">
        <v>1</v>
      </c>
      <c r="HC139">
        <v>1</v>
      </c>
      <c r="HD139">
        <v>1</v>
      </c>
      <c r="HE139">
        <v>1</v>
      </c>
      <c r="HF139">
        <v>1</v>
      </c>
      <c r="HG139">
        <v>1</v>
      </c>
    </row>
    <row r="140" spans="1:215" x14ac:dyDescent="0.25">
      <c r="A140" t="s">
        <v>258</v>
      </c>
      <c r="B140" t="s">
        <v>222</v>
      </c>
      <c r="C140" s="3">
        <v>-22.92</v>
      </c>
      <c r="D140" s="3">
        <v>-43.68</v>
      </c>
      <c r="E140" t="s">
        <v>12</v>
      </c>
      <c r="F140" t="s">
        <v>21</v>
      </c>
      <c r="G140" t="s">
        <v>106</v>
      </c>
      <c r="I140" t="s">
        <v>12</v>
      </c>
      <c r="J140" t="s">
        <v>15</v>
      </c>
      <c r="K140" t="s">
        <v>15</v>
      </c>
      <c r="L140" t="s">
        <v>437</v>
      </c>
      <c r="M140" t="s">
        <v>984</v>
      </c>
      <c r="O140">
        <v>12.1</v>
      </c>
      <c r="P140">
        <v>8.5</v>
      </c>
      <c r="GV140">
        <v>1</v>
      </c>
      <c r="GW140">
        <v>1</v>
      </c>
      <c r="GX140">
        <v>1</v>
      </c>
      <c r="GY140">
        <v>1</v>
      </c>
      <c r="GZ140">
        <v>1</v>
      </c>
      <c r="HA140">
        <v>1</v>
      </c>
      <c r="HB140">
        <v>1</v>
      </c>
      <c r="HC140">
        <v>1</v>
      </c>
      <c r="HD140">
        <v>1</v>
      </c>
      <c r="HE140">
        <v>1</v>
      </c>
      <c r="HF140">
        <v>1</v>
      </c>
      <c r="HG140">
        <v>1</v>
      </c>
    </row>
    <row r="141" spans="1:215" x14ac:dyDescent="0.25">
      <c r="A141" t="s">
        <v>258</v>
      </c>
      <c r="B141" t="s">
        <v>222</v>
      </c>
      <c r="C141" s="3">
        <f>-22-AVERAGE(58,54,51,59,57,50,60,54,53,56)/60</f>
        <v>-22.92</v>
      </c>
      <c r="D141" s="3">
        <f>-43-AVERAGE(13,13,13,25,20,21,34,33,26,40)/60</f>
        <v>-43.396666666666668</v>
      </c>
      <c r="E141" t="s">
        <v>15</v>
      </c>
      <c r="F141" t="s">
        <v>8</v>
      </c>
      <c r="G141" t="s">
        <v>106</v>
      </c>
      <c r="I141" t="s">
        <v>15</v>
      </c>
      <c r="J141" t="s">
        <v>12</v>
      </c>
      <c r="K141" t="s">
        <v>12</v>
      </c>
      <c r="L141" t="s">
        <v>260</v>
      </c>
      <c r="M141" t="s">
        <v>1059</v>
      </c>
      <c r="N141" t="s">
        <v>259</v>
      </c>
      <c r="O141">
        <f>AVERAGE(7.8,11,13,7.5,11,11,7.1,11.1,10.4,10.5)</f>
        <v>10.039999999999999</v>
      </c>
      <c r="DQ141">
        <v>1</v>
      </c>
      <c r="DR141">
        <v>1</v>
      </c>
      <c r="DS141">
        <v>1</v>
      </c>
      <c r="DT141">
        <v>1</v>
      </c>
      <c r="DU141">
        <v>1</v>
      </c>
      <c r="DV141">
        <v>1</v>
      </c>
      <c r="DW141">
        <v>1</v>
      </c>
      <c r="DX141">
        <v>1</v>
      </c>
      <c r="DY141">
        <v>1</v>
      </c>
      <c r="DZ141">
        <v>1</v>
      </c>
      <c r="EA141">
        <v>1</v>
      </c>
      <c r="EB141">
        <v>1</v>
      </c>
    </row>
    <row r="142" spans="1:215" x14ac:dyDescent="0.25">
      <c r="A142" t="s">
        <v>668</v>
      </c>
      <c r="B142" t="s">
        <v>222</v>
      </c>
      <c r="C142" s="3">
        <v>-23.547499999999999</v>
      </c>
      <c r="D142" s="3">
        <v>-46.636111111111099</v>
      </c>
      <c r="E142" t="s">
        <v>12</v>
      </c>
      <c r="F142" t="s">
        <v>34</v>
      </c>
      <c r="G142" t="s">
        <v>690</v>
      </c>
      <c r="I142" t="s">
        <v>15</v>
      </c>
      <c r="J142" t="s">
        <v>15</v>
      </c>
      <c r="K142" t="s">
        <v>15</v>
      </c>
      <c r="L142" t="s">
        <v>795</v>
      </c>
      <c r="M142" t="s">
        <v>794</v>
      </c>
      <c r="O142">
        <v>28</v>
      </c>
      <c r="P142">
        <v>13</v>
      </c>
      <c r="FJ142">
        <v>1</v>
      </c>
      <c r="FK142">
        <v>1</v>
      </c>
      <c r="FL142">
        <v>1</v>
      </c>
      <c r="FM142">
        <v>1</v>
      </c>
      <c r="FN142">
        <v>1</v>
      </c>
      <c r="FO142">
        <v>1</v>
      </c>
      <c r="FP142">
        <v>1</v>
      </c>
      <c r="FQ142">
        <v>1</v>
      </c>
      <c r="FR142">
        <v>1</v>
      </c>
      <c r="FS142">
        <v>1</v>
      </c>
      <c r="FT142">
        <v>1</v>
      </c>
      <c r="FU142">
        <v>1</v>
      </c>
      <c r="FV142">
        <v>1</v>
      </c>
      <c r="FW142">
        <v>1</v>
      </c>
      <c r="FX142">
        <v>1</v>
      </c>
    </row>
    <row r="143" spans="1:215" x14ac:dyDescent="0.25">
      <c r="A143" t="s">
        <v>668</v>
      </c>
      <c r="B143" t="s">
        <v>222</v>
      </c>
      <c r="C143" s="3">
        <v>-23.56</v>
      </c>
      <c r="D143" s="3">
        <v>-46.74</v>
      </c>
      <c r="E143" t="s">
        <v>12</v>
      </c>
      <c r="F143" t="s">
        <v>77</v>
      </c>
      <c r="G143" t="s">
        <v>713</v>
      </c>
      <c r="I143" t="s">
        <v>12</v>
      </c>
      <c r="J143" t="s">
        <v>12</v>
      </c>
      <c r="K143" t="s">
        <v>12</v>
      </c>
      <c r="L143" t="s">
        <v>758</v>
      </c>
      <c r="M143" t="s">
        <v>816</v>
      </c>
      <c r="O143">
        <v>11.9</v>
      </c>
      <c r="P143">
        <v>5.12</v>
      </c>
      <c r="DA143">
        <v>1</v>
      </c>
      <c r="DB143">
        <v>1</v>
      </c>
    </row>
    <row r="144" spans="1:215" x14ac:dyDescent="0.25">
      <c r="A144" t="s">
        <v>668</v>
      </c>
      <c r="B144" t="s">
        <v>222</v>
      </c>
      <c r="C144" s="3">
        <v>-23.516666666666701</v>
      </c>
      <c r="D144" s="3">
        <v>-46.516666666666701</v>
      </c>
      <c r="E144" t="s">
        <v>12</v>
      </c>
      <c r="F144" t="s">
        <v>77</v>
      </c>
      <c r="G144" t="s">
        <v>722</v>
      </c>
      <c r="I144" t="s">
        <v>15</v>
      </c>
      <c r="J144" t="s">
        <v>12</v>
      </c>
      <c r="K144" t="s">
        <v>15</v>
      </c>
      <c r="L144" t="s">
        <v>763</v>
      </c>
      <c r="M144" t="s">
        <v>821</v>
      </c>
      <c r="O144">
        <v>30.2</v>
      </c>
      <c r="P144">
        <v>16.100000000000001</v>
      </c>
      <c r="AT144">
        <v>1</v>
      </c>
      <c r="AU144">
        <v>1</v>
      </c>
      <c r="AV144">
        <v>1</v>
      </c>
      <c r="AW144">
        <v>1</v>
      </c>
      <c r="BA144">
        <v>1</v>
      </c>
      <c r="BB144">
        <v>1</v>
      </c>
      <c r="BC144">
        <v>1</v>
      </c>
    </row>
    <row r="145" spans="1:184" x14ac:dyDescent="0.25">
      <c r="A145" t="s">
        <v>668</v>
      </c>
      <c r="B145" t="s">
        <v>222</v>
      </c>
      <c r="C145" s="3">
        <v>-23.5</v>
      </c>
      <c r="D145" s="3">
        <v>-46.7</v>
      </c>
      <c r="E145" t="s">
        <v>15</v>
      </c>
      <c r="F145" t="s">
        <v>34</v>
      </c>
      <c r="G145" t="s">
        <v>106</v>
      </c>
      <c r="H145">
        <v>45</v>
      </c>
      <c r="I145" t="s">
        <v>15</v>
      </c>
      <c r="J145" t="s">
        <v>15</v>
      </c>
      <c r="K145" t="s">
        <v>15</v>
      </c>
      <c r="L145" t="s">
        <v>667</v>
      </c>
      <c r="M145" t="s">
        <v>853</v>
      </c>
      <c r="O145">
        <v>34.299999999999997</v>
      </c>
      <c r="FJ145">
        <v>1</v>
      </c>
      <c r="FK145">
        <v>1</v>
      </c>
      <c r="FL145">
        <v>1</v>
      </c>
    </row>
    <row r="146" spans="1:184" x14ac:dyDescent="0.25">
      <c r="A146" t="s">
        <v>668</v>
      </c>
      <c r="B146" t="s">
        <v>222</v>
      </c>
      <c r="C146" s="3">
        <v>-23.5</v>
      </c>
      <c r="D146" s="3">
        <v>-46.7</v>
      </c>
      <c r="E146" t="s">
        <v>15</v>
      </c>
      <c r="F146" t="s">
        <v>34</v>
      </c>
      <c r="G146" t="s">
        <v>106</v>
      </c>
      <c r="H146">
        <v>45</v>
      </c>
      <c r="I146" t="s">
        <v>15</v>
      </c>
      <c r="J146" t="s">
        <v>15</v>
      </c>
      <c r="K146" t="s">
        <v>15</v>
      </c>
      <c r="L146" t="s">
        <v>667</v>
      </c>
      <c r="M146" t="s">
        <v>853</v>
      </c>
      <c r="O146">
        <v>27.1</v>
      </c>
      <c r="FM146">
        <v>1</v>
      </c>
      <c r="FN146">
        <v>1</v>
      </c>
      <c r="FO146">
        <v>1</v>
      </c>
    </row>
    <row r="147" spans="1:184" x14ac:dyDescent="0.25">
      <c r="A147" t="s">
        <v>668</v>
      </c>
      <c r="B147" t="s">
        <v>222</v>
      </c>
      <c r="C147" s="3">
        <v>-23.5</v>
      </c>
      <c r="D147" s="3">
        <v>-46.7</v>
      </c>
      <c r="E147" t="s">
        <v>15</v>
      </c>
      <c r="F147" t="s">
        <v>34</v>
      </c>
      <c r="G147" t="s">
        <v>106</v>
      </c>
      <c r="H147">
        <v>45</v>
      </c>
      <c r="I147" t="s">
        <v>15</v>
      </c>
      <c r="J147" t="s">
        <v>15</v>
      </c>
      <c r="K147" t="s">
        <v>15</v>
      </c>
      <c r="L147" t="s">
        <v>667</v>
      </c>
      <c r="M147" t="s">
        <v>853</v>
      </c>
      <c r="O147">
        <v>19.899999999999999</v>
      </c>
      <c r="FP147">
        <v>1</v>
      </c>
      <c r="FQ147">
        <v>1</v>
      </c>
      <c r="FR147">
        <v>1</v>
      </c>
    </row>
    <row r="148" spans="1:184" x14ac:dyDescent="0.25">
      <c r="A148" t="s">
        <v>668</v>
      </c>
      <c r="B148" t="s">
        <v>222</v>
      </c>
      <c r="C148" s="3">
        <v>-23.5</v>
      </c>
      <c r="D148" s="3">
        <v>-46.7</v>
      </c>
      <c r="E148" t="s">
        <v>15</v>
      </c>
      <c r="F148" t="s">
        <v>34</v>
      </c>
      <c r="G148" t="s">
        <v>106</v>
      </c>
      <c r="H148">
        <v>45</v>
      </c>
      <c r="I148" t="s">
        <v>15</v>
      </c>
      <c r="J148" t="s">
        <v>15</v>
      </c>
      <c r="K148" t="s">
        <v>15</v>
      </c>
      <c r="L148" t="s">
        <v>667</v>
      </c>
      <c r="M148" t="s">
        <v>853</v>
      </c>
      <c r="O148">
        <v>24.7</v>
      </c>
      <c r="FS148">
        <v>1</v>
      </c>
      <c r="FT148">
        <v>1</v>
      </c>
      <c r="FU148">
        <v>1</v>
      </c>
    </row>
    <row r="149" spans="1:184" x14ac:dyDescent="0.25">
      <c r="A149" t="s">
        <v>668</v>
      </c>
      <c r="B149" t="s">
        <v>222</v>
      </c>
      <c r="C149" s="3">
        <v>-23.5</v>
      </c>
      <c r="D149" s="3">
        <v>-46.7</v>
      </c>
      <c r="E149" t="s">
        <v>15</v>
      </c>
      <c r="F149" t="s">
        <v>34</v>
      </c>
      <c r="G149" t="s">
        <v>106</v>
      </c>
      <c r="H149">
        <v>45</v>
      </c>
      <c r="I149" t="s">
        <v>15</v>
      </c>
      <c r="J149" t="s">
        <v>15</v>
      </c>
      <c r="K149" t="s">
        <v>15</v>
      </c>
      <c r="L149" t="s">
        <v>667</v>
      </c>
      <c r="M149" t="s">
        <v>853</v>
      </c>
      <c r="O149">
        <v>35.700000000000003</v>
      </c>
      <c r="FV149">
        <v>1</v>
      </c>
      <c r="FW149">
        <v>1</v>
      </c>
      <c r="FX149">
        <v>1</v>
      </c>
    </row>
    <row r="150" spans="1:184" x14ac:dyDescent="0.25">
      <c r="A150" t="s">
        <v>707</v>
      </c>
      <c r="B150" t="s">
        <v>708</v>
      </c>
      <c r="C150" s="3">
        <v>12.366666666666699</v>
      </c>
      <c r="D150" s="3">
        <v>1.5166666666666699</v>
      </c>
      <c r="E150" t="s">
        <v>15</v>
      </c>
      <c r="F150" t="s">
        <v>8</v>
      </c>
      <c r="G150" t="s">
        <v>709</v>
      </c>
      <c r="H150">
        <v>45</v>
      </c>
      <c r="I150" t="s">
        <v>15</v>
      </c>
      <c r="J150" t="s">
        <v>12</v>
      </c>
      <c r="K150" t="s">
        <v>15</v>
      </c>
      <c r="L150" t="s">
        <v>755</v>
      </c>
      <c r="M150" t="s">
        <v>813</v>
      </c>
      <c r="O150">
        <v>77</v>
      </c>
      <c r="P150">
        <v>42</v>
      </c>
      <c r="FP150">
        <v>0.5</v>
      </c>
    </row>
    <row r="151" spans="1:184" x14ac:dyDescent="0.25">
      <c r="A151" t="s">
        <v>550</v>
      </c>
      <c r="B151" t="s">
        <v>194</v>
      </c>
      <c r="C151" s="3">
        <v>-23.63</v>
      </c>
      <c r="D151" s="3">
        <v>-70.39</v>
      </c>
      <c r="E151" t="s">
        <v>15</v>
      </c>
      <c r="F151" t="s">
        <v>22</v>
      </c>
      <c r="G151" t="s">
        <v>106</v>
      </c>
      <c r="I151" t="s">
        <v>12</v>
      </c>
      <c r="J151" t="s">
        <v>12</v>
      </c>
      <c r="K151" t="s">
        <v>15</v>
      </c>
      <c r="L151" t="s">
        <v>551</v>
      </c>
      <c r="M151" t="s">
        <v>918</v>
      </c>
      <c r="O151">
        <v>42</v>
      </c>
      <c r="FQ151">
        <v>1</v>
      </c>
      <c r="FR151">
        <v>1</v>
      </c>
      <c r="FS151">
        <v>1</v>
      </c>
      <c r="FT151">
        <v>1</v>
      </c>
      <c r="FU151">
        <v>1</v>
      </c>
      <c r="FV151">
        <v>1</v>
      </c>
      <c r="FW151">
        <v>1</v>
      </c>
      <c r="FX151">
        <v>1</v>
      </c>
      <c r="FY151">
        <v>1</v>
      </c>
      <c r="FZ151">
        <v>1</v>
      </c>
      <c r="GA151">
        <v>1</v>
      </c>
      <c r="GB151">
        <v>1</v>
      </c>
    </row>
    <row r="152" spans="1:184" x14ac:dyDescent="0.25">
      <c r="A152" t="s">
        <v>539</v>
      </c>
      <c r="B152" t="s">
        <v>194</v>
      </c>
      <c r="C152" s="3">
        <v>-20.260000000000002</v>
      </c>
      <c r="D152" s="3">
        <v>-70.14</v>
      </c>
      <c r="E152" t="s">
        <v>12</v>
      </c>
      <c r="F152" t="s">
        <v>19</v>
      </c>
      <c r="G152" t="s">
        <v>106</v>
      </c>
      <c r="I152" t="s">
        <v>12</v>
      </c>
      <c r="J152" t="s">
        <v>12</v>
      </c>
      <c r="K152" t="s">
        <v>15</v>
      </c>
      <c r="L152" t="s">
        <v>540</v>
      </c>
      <c r="M152" t="s">
        <v>924</v>
      </c>
      <c r="O152">
        <v>24.7</v>
      </c>
      <c r="P152">
        <v>1.2</v>
      </c>
      <c r="BA152">
        <v>1</v>
      </c>
      <c r="BB152">
        <v>1</v>
      </c>
      <c r="BC152">
        <v>1</v>
      </c>
      <c r="BD152">
        <v>1</v>
      </c>
      <c r="BE152">
        <v>1</v>
      </c>
      <c r="BF152">
        <v>1</v>
      </c>
      <c r="BG152">
        <v>1</v>
      </c>
      <c r="BH152">
        <v>1</v>
      </c>
      <c r="BI152">
        <v>1</v>
      </c>
      <c r="BJ152">
        <v>1</v>
      </c>
      <c r="BK152">
        <v>1</v>
      </c>
      <c r="BL152">
        <v>1</v>
      </c>
    </row>
    <row r="153" spans="1:184" x14ac:dyDescent="0.25">
      <c r="A153" t="s">
        <v>536</v>
      </c>
      <c r="B153" t="s">
        <v>194</v>
      </c>
      <c r="C153" s="3">
        <v>-34.18</v>
      </c>
      <c r="D153" s="3">
        <v>-70.739999999999995</v>
      </c>
      <c r="E153" t="s">
        <v>12</v>
      </c>
      <c r="F153" t="s">
        <v>19</v>
      </c>
      <c r="G153" t="s">
        <v>106</v>
      </c>
      <c r="I153" t="s">
        <v>12</v>
      </c>
      <c r="J153" t="s">
        <v>12</v>
      </c>
      <c r="K153" t="s">
        <v>15</v>
      </c>
      <c r="L153" t="s">
        <v>540</v>
      </c>
      <c r="M153" t="s">
        <v>924</v>
      </c>
      <c r="O153">
        <v>42.6</v>
      </c>
      <c r="P153">
        <v>3.3</v>
      </c>
      <c r="BA153">
        <v>1</v>
      </c>
      <c r="BB153">
        <v>1</v>
      </c>
      <c r="BC153">
        <v>1</v>
      </c>
      <c r="BD153">
        <v>1</v>
      </c>
      <c r="BE153">
        <v>1</v>
      </c>
      <c r="BF153">
        <v>1</v>
      </c>
      <c r="BG153">
        <v>1</v>
      </c>
      <c r="BH153">
        <v>1</v>
      </c>
      <c r="BI153">
        <v>1</v>
      </c>
      <c r="BJ153">
        <v>1</v>
      </c>
      <c r="BK153">
        <v>1</v>
      </c>
      <c r="BL153">
        <v>1</v>
      </c>
    </row>
    <row r="154" spans="1:184" x14ac:dyDescent="0.25">
      <c r="A154" t="s">
        <v>193</v>
      </c>
      <c r="B154" t="s">
        <v>194</v>
      </c>
      <c r="C154" s="3">
        <v>-33.47</v>
      </c>
      <c r="D154" s="3">
        <v>-70.64</v>
      </c>
      <c r="E154" t="s">
        <v>12</v>
      </c>
      <c r="F154" t="s">
        <v>77</v>
      </c>
      <c r="G154" t="s">
        <v>602</v>
      </c>
      <c r="I154" t="s">
        <v>12</v>
      </c>
      <c r="J154" t="s">
        <v>12</v>
      </c>
      <c r="K154" t="s">
        <v>12</v>
      </c>
      <c r="L154" t="s">
        <v>601</v>
      </c>
      <c r="M154" t="s">
        <v>879</v>
      </c>
      <c r="O154">
        <f>AVERAGE(19,32)</f>
        <v>25.5</v>
      </c>
      <c r="P154">
        <f>AVERAGE(12,26)</f>
        <v>19</v>
      </c>
      <c r="EZ154">
        <v>1</v>
      </c>
    </row>
    <row r="155" spans="1:184" x14ac:dyDescent="0.25">
      <c r="A155" t="s">
        <v>193</v>
      </c>
      <c r="B155" t="s">
        <v>194</v>
      </c>
      <c r="C155" s="3">
        <v>-33.409999999999997</v>
      </c>
      <c r="D155" s="3">
        <v>-70.83</v>
      </c>
      <c r="E155" t="s">
        <v>12</v>
      </c>
      <c r="F155" t="s">
        <v>21</v>
      </c>
      <c r="G155" t="s">
        <v>60</v>
      </c>
      <c r="I155" t="s">
        <v>12</v>
      </c>
      <c r="J155" t="s">
        <v>12</v>
      </c>
      <c r="K155" t="s">
        <v>12</v>
      </c>
      <c r="L155" t="s">
        <v>600</v>
      </c>
      <c r="M155" t="s">
        <v>878</v>
      </c>
      <c r="O155">
        <f>AVERAGE(36,56)</f>
        <v>46</v>
      </c>
      <c r="CB155">
        <v>1</v>
      </c>
    </row>
    <row r="156" spans="1:184" x14ac:dyDescent="0.25">
      <c r="A156" t="s">
        <v>193</v>
      </c>
      <c r="B156" t="s">
        <v>194</v>
      </c>
      <c r="C156" s="3">
        <v>-33.409999999999997</v>
      </c>
      <c r="D156" s="3">
        <v>-70.83</v>
      </c>
      <c r="E156" t="s">
        <v>12</v>
      </c>
      <c r="F156" t="s">
        <v>21</v>
      </c>
      <c r="G156" t="s">
        <v>60</v>
      </c>
      <c r="I156" t="s">
        <v>12</v>
      </c>
      <c r="J156" t="s">
        <v>12</v>
      </c>
      <c r="K156" t="s">
        <v>12</v>
      </c>
      <c r="L156" t="s">
        <v>600</v>
      </c>
      <c r="M156" t="s">
        <v>878</v>
      </c>
      <c r="O156">
        <f>AVERAGE(46,76)</f>
        <v>61</v>
      </c>
      <c r="CC156">
        <v>1</v>
      </c>
    </row>
    <row r="157" spans="1:184" x14ac:dyDescent="0.25">
      <c r="A157" t="s">
        <v>193</v>
      </c>
      <c r="B157" t="s">
        <v>194</v>
      </c>
      <c r="C157" s="3">
        <v>-33.409999999999997</v>
      </c>
      <c r="D157" s="3">
        <v>-70.83</v>
      </c>
      <c r="E157" t="s">
        <v>12</v>
      </c>
      <c r="F157" t="s">
        <v>21</v>
      </c>
      <c r="G157" t="s">
        <v>60</v>
      </c>
      <c r="I157" t="s">
        <v>12</v>
      </c>
      <c r="J157" t="s">
        <v>12</v>
      </c>
      <c r="K157" t="s">
        <v>12</v>
      </c>
      <c r="L157" t="s">
        <v>600</v>
      </c>
      <c r="M157" t="s">
        <v>878</v>
      </c>
      <c r="O157">
        <f>AVERAGE(47,35)</f>
        <v>41</v>
      </c>
      <c r="CD157">
        <v>1</v>
      </c>
    </row>
    <row r="158" spans="1:184" x14ac:dyDescent="0.25">
      <c r="A158" t="s">
        <v>193</v>
      </c>
      <c r="B158" t="s">
        <v>194</v>
      </c>
      <c r="C158" s="3">
        <v>-33.409999999999997</v>
      </c>
      <c r="D158" s="3">
        <v>-70.83</v>
      </c>
      <c r="E158" t="s">
        <v>12</v>
      </c>
      <c r="F158" t="s">
        <v>21</v>
      </c>
      <c r="G158" t="s">
        <v>60</v>
      </c>
      <c r="I158" t="s">
        <v>12</v>
      </c>
      <c r="J158" t="s">
        <v>12</v>
      </c>
      <c r="K158" t="s">
        <v>12</v>
      </c>
      <c r="L158" t="s">
        <v>600</v>
      </c>
      <c r="M158" t="s">
        <v>878</v>
      </c>
      <c r="O158">
        <f>AVERAGE(53,63)</f>
        <v>58</v>
      </c>
      <c r="CE158">
        <v>1</v>
      </c>
    </row>
    <row r="159" spans="1:184" x14ac:dyDescent="0.25">
      <c r="A159" t="s">
        <v>193</v>
      </c>
      <c r="B159" t="s">
        <v>194</v>
      </c>
      <c r="C159" s="3">
        <v>-33.409999999999997</v>
      </c>
      <c r="D159" s="3">
        <v>-70.83</v>
      </c>
      <c r="E159" t="s">
        <v>12</v>
      </c>
      <c r="F159" t="s">
        <v>21</v>
      </c>
      <c r="G159" t="s">
        <v>60</v>
      </c>
      <c r="I159" t="s">
        <v>12</v>
      </c>
      <c r="J159" t="s">
        <v>12</v>
      </c>
      <c r="K159" t="s">
        <v>12</v>
      </c>
      <c r="L159" t="s">
        <v>600</v>
      </c>
      <c r="M159" t="s">
        <v>878</v>
      </c>
      <c r="O159">
        <f>AVERAGE(40.5,36.5)</f>
        <v>38.5</v>
      </c>
      <c r="CF159">
        <v>1</v>
      </c>
    </row>
    <row r="160" spans="1:184" x14ac:dyDescent="0.25">
      <c r="A160" t="s">
        <v>193</v>
      </c>
      <c r="B160" t="s">
        <v>194</v>
      </c>
      <c r="C160" s="3">
        <v>-33.409999999999997</v>
      </c>
      <c r="D160" s="3">
        <v>-70.83</v>
      </c>
      <c r="E160" t="s">
        <v>12</v>
      </c>
      <c r="F160" t="s">
        <v>21</v>
      </c>
      <c r="G160" t="s">
        <v>60</v>
      </c>
      <c r="I160" t="s">
        <v>12</v>
      </c>
      <c r="J160" t="s">
        <v>12</v>
      </c>
      <c r="K160" t="s">
        <v>12</v>
      </c>
      <c r="L160" t="s">
        <v>600</v>
      </c>
      <c r="M160" t="s">
        <v>878</v>
      </c>
      <c r="O160">
        <f>AVERAGE(32,26)</f>
        <v>29</v>
      </c>
      <c r="CG160">
        <v>1</v>
      </c>
    </row>
    <row r="161" spans="1:172" x14ac:dyDescent="0.25">
      <c r="A161" t="s">
        <v>193</v>
      </c>
      <c r="B161" t="s">
        <v>194</v>
      </c>
      <c r="C161" s="3">
        <v>-33.5</v>
      </c>
      <c r="D161" s="3">
        <v>-70.650000000000006</v>
      </c>
      <c r="E161" t="s">
        <v>12</v>
      </c>
      <c r="F161" t="s">
        <v>19</v>
      </c>
      <c r="G161" t="s">
        <v>106</v>
      </c>
      <c r="I161" t="s">
        <v>12</v>
      </c>
      <c r="J161" t="s">
        <v>12</v>
      </c>
      <c r="K161" t="s">
        <v>15</v>
      </c>
      <c r="L161" t="s">
        <v>552</v>
      </c>
      <c r="M161" t="s">
        <v>917</v>
      </c>
      <c r="O161">
        <v>32.299999999999997</v>
      </c>
      <c r="P161">
        <v>16.7</v>
      </c>
      <c r="DU161">
        <v>1</v>
      </c>
      <c r="DV161">
        <v>1</v>
      </c>
      <c r="DW161">
        <v>1</v>
      </c>
      <c r="DX161">
        <v>1</v>
      </c>
      <c r="DY161">
        <v>1</v>
      </c>
      <c r="DZ161">
        <v>1</v>
      </c>
      <c r="EA161">
        <v>1</v>
      </c>
      <c r="EB161">
        <v>1</v>
      </c>
      <c r="EC161">
        <v>1</v>
      </c>
      <c r="ED161">
        <v>1</v>
      </c>
      <c r="EE161">
        <v>1</v>
      </c>
      <c r="EF161">
        <v>1</v>
      </c>
    </row>
    <row r="162" spans="1:172" x14ac:dyDescent="0.25">
      <c r="A162" t="s">
        <v>193</v>
      </c>
      <c r="B162" t="s">
        <v>194</v>
      </c>
      <c r="C162" s="3">
        <v>-33.5</v>
      </c>
      <c r="D162" s="3">
        <v>-70.650000000000006</v>
      </c>
      <c r="E162" t="s">
        <v>12</v>
      </c>
      <c r="F162" t="s">
        <v>19</v>
      </c>
      <c r="G162" t="s">
        <v>106</v>
      </c>
      <c r="I162" t="s">
        <v>12</v>
      </c>
      <c r="J162" t="s">
        <v>12</v>
      </c>
      <c r="K162" t="s">
        <v>15</v>
      </c>
      <c r="L162" t="s">
        <v>552</v>
      </c>
      <c r="M162" t="s">
        <v>917</v>
      </c>
      <c r="O162">
        <v>36.9</v>
      </c>
      <c r="P162">
        <v>20.7</v>
      </c>
      <c r="BS162">
        <v>1</v>
      </c>
      <c r="BT162">
        <v>1</v>
      </c>
      <c r="BU162">
        <v>1</v>
      </c>
      <c r="BV162">
        <v>1</v>
      </c>
      <c r="BW162">
        <v>1</v>
      </c>
    </row>
    <row r="163" spans="1:172" x14ac:dyDescent="0.25">
      <c r="A163" t="s">
        <v>193</v>
      </c>
      <c r="B163" t="s">
        <v>194</v>
      </c>
      <c r="C163" s="3">
        <v>-33.424999999999997</v>
      </c>
      <c r="D163" s="3">
        <v>-70.650000000000006</v>
      </c>
      <c r="E163" t="s">
        <v>34</v>
      </c>
      <c r="F163" t="s">
        <v>77</v>
      </c>
      <c r="G163" t="s">
        <v>106</v>
      </c>
      <c r="I163" t="s">
        <v>12</v>
      </c>
      <c r="J163" t="s">
        <v>12</v>
      </c>
      <c r="K163" t="s">
        <v>15</v>
      </c>
      <c r="L163" t="s">
        <v>195</v>
      </c>
      <c r="M163" t="s">
        <v>1084</v>
      </c>
      <c r="O163">
        <v>61.4</v>
      </c>
      <c r="BD163">
        <v>1</v>
      </c>
      <c r="BE163">
        <v>1</v>
      </c>
      <c r="BF163">
        <v>1</v>
      </c>
      <c r="BG163">
        <v>1</v>
      </c>
      <c r="BH163">
        <v>1</v>
      </c>
      <c r="BI163">
        <v>1</v>
      </c>
      <c r="BP163">
        <v>1</v>
      </c>
      <c r="BQ163">
        <v>1</v>
      </c>
      <c r="BR163">
        <v>1</v>
      </c>
      <c r="BS163">
        <v>1</v>
      </c>
      <c r="BT163">
        <v>1</v>
      </c>
      <c r="BU163">
        <v>1</v>
      </c>
      <c r="CB163">
        <v>1</v>
      </c>
      <c r="CC163">
        <v>1</v>
      </c>
      <c r="CD163">
        <v>1</v>
      </c>
      <c r="CE163">
        <v>1</v>
      </c>
      <c r="CF163">
        <v>1</v>
      </c>
      <c r="CG163">
        <v>1</v>
      </c>
      <c r="CN163">
        <v>1</v>
      </c>
      <c r="CO163">
        <v>1</v>
      </c>
      <c r="CP163">
        <v>1</v>
      </c>
      <c r="CQ163">
        <v>1</v>
      </c>
      <c r="CR163">
        <v>1</v>
      </c>
      <c r="CS163">
        <v>1</v>
      </c>
      <c r="CZ163">
        <v>1</v>
      </c>
      <c r="DA163">
        <v>1</v>
      </c>
      <c r="DB163">
        <v>1</v>
      </c>
      <c r="DC163">
        <v>1</v>
      </c>
      <c r="DD163">
        <v>1</v>
      </c>
      <c r="DE163">
        <v>1</v>
      </c>
      <c r="DL163">
        <v>1</v>
      </c>
      <c r="DM163">
        <v>1</v>
      </c>
      <c r="DN163">
        <v>1</v>
      </c>
      <c r="DO163">
        <v>1</v>
      </c>
      <c r="DP163">
        <v>1</v>
      </c>
      <c r="DQ163">
        <v>1</v>
      </c>
      <c r="DX163">
        <v>1</v>
      </c>
      <c r="DY163">
        <v>1</v>
      </c>
      <c r="DZ163">
        <v>1</v>
      </c>
      <c r="EA163">
        <v>1</v>
      </c>
      <c r="EB163">
        <v>1</v>
      </c>
      <c r="EC163">
        <v>1</v>
      </c>
      <c r="EJ163">
        <v>1</v>
      </c>
      <c r="EK163">
        <v>1</v>
      </c>
      <c r="EL163">
        <v>1</v>
      </c>
      <c r="EM163">
        <v>1</v>
      </c>
      <c r="EN163">
        <v>1</v>
      </c>
      <c r="EO163">
        <v>1</v>
      </c>
      <c r="EV163">
        <v>1</v>
      </c>
      <c r="EW163">
        <v>1</v>
      </c>
      <c r="EX163">
        <v>1</v>
      </c>
      <c r="EY163">
        <v>1</v>
      </c>
      <c r="EZ163">
        <v>1</v>
      </c>
      <c r="FA163">
        <v>1</v>
      </c>
      <c r="FH163">
        <v>1</v>
      </c>
      <c r="FI163">
        <v>1</v>
      </c>
      <c r="FJ163">
        <v>1</v>
      </c>
      <c r="FK163">
        <v>1</v>
      </c>
      <c r="FL163">
        <v>1</v>
      </c>
      <c r="FM163">
        <v>1</v>
      </c>
    </row>
    <row r="164" spans="1:172" x14ac:dyDescent="0.25">
      <c r="A164" t="s">
        <v>193</v>
      </c>
      <c r="B164" t="s">
        <v>194</v>
      </c>
      <c r="C164" s="3">
        <v>-33.424999999999997</v>
      </c>
      <c r="D164" s="3">
        <v>-70.650000000000006</v>
      </c>
      <c r="E164" t="s">
        <v>34</v>
      </c>
      <c r="F164" t="s">
        <v>77</v>
      </c>
      <c r="G164" t="s">
        <v>106</v>
      </c>
      <c r="I164" t="s">
        <v>12</v>
      </c>
      <c r="J164" t="s">
        <v>12</v>
      </c>
      <c r="K164" t="s">
        <v>15</v>
      </c>
      <c r="L164" t="s">
        <v>195</v>
      </c>
      <c r="M164" t="s">
        <v>1084</v>
      </c>
      <c r="O164">
        <v>19.5</v>
      </c>
      <c r="BA164">
        <v>1</v>
      </c>
      <c r="BB164">
        <v>1</v>
      </c>
      <c r="BC164">
        <v>1</v>
      </c>
      <c r="BJ164">
        <v>1</v>
      </c>
      <c r="BK164">
        <v>1</v>
      </c>
      <c r="BL164">
        <v>1</v>
      </c>
      <c r="BM164">
        <v>1</v>
      </c>
      <c r="BN164">
        <v>1</v>
      </c>
      <c r="BO164">
        <v>1</v>
      </c>
      <c r="BV164">
        <v>1</v>
      </c>
      <c r="BW164">
        <v>1</v>
      </c>
      <c r="BX164">
        <v>1</v>
      </c>
      <c r="BY164">
        <v>1</v>
      </c>
      <c r="BZ164">
        <v>1</v>
      </c>
      <c r="CA164">
        <v>1</v>
      </c>
      <c r="CH164">
        <v>1</v>
      </c>
      <c r="CI164">
        <v>1</v>
      </c>
      <c r="CJ164">
        <v>1</v>
      </c>
      <c r="CK164">
        <v>1</v>
      </c>
      <c r="CL164">
        <v>1</v>
      </c>
      <c r="CM164">
        <v>1</v>
      </c>
      <c r="CT164">
        <v>1</v>
      </c>
      <c r="CU164">
        <v>1</v>
      </c>
      <c r="CV164">
        <v>1</v>
      </c>
      <c r="CW164">
        <v>1</v>
      </c>
      <c r="CX164">
        <v>1</v>
      </c>
      <c r="CY164">
        <v>1</v>
      </c>
      <c r="DF164">
        <v>1</v>
      </c>
      <c r="DG164">
        <v>1</v>
      </c>
      <c r="DH164">
        <v>1</v>
      </c>
      <c r="DI164">
        <v>1</v>
      </c>
      <c r="DJ164">
        <v>1</v>
      </c>
      <c r="DK164">
        <v>1</v>
      </c>
      <c r="DR164">
        <v>1</v>
      </c>
      <c r="DS164">
        <v>1</v>
      </c>
      <c r="DT164">
        <v>1</v>
      </c>
      <c r="DU164">
        <v>1</v>
      </c>
      <c r="DV164">
        <v>1</v>
      </c>
      <c r="DW164">
        <v>1</v>
      </c>
      <c r="ED164">
        <v>1</v>
      </c>
      <c r="EE164">
        <v>1</v>
      </c>
      <c r="EF164">
        <v>1</v>
      </c>
      <c r="EG164">
        <v>1</v>
      </c>
      <c r="EH164">
        <v>1</v>
      </c>
      <c r="EI164">
        <v>1</v>
      </c>
      <c r="EP164">
        <v>1</v>
      </c>
      <c r="EQ164">
        <v>1</v>
      </c>
      <c r="ER164">
        <v>1</v>
      </c>
      <c r="ES164">
        <v>1</v>
      </c>
      <c r="ET164">
        <v>1</v>
      </c>
      <c r="EU164">
        <v>1</v>
      </c>
      <c r="FB164">
        <v>1</v>
      </c>
      <c r="FC164">
        <v>1</v>
      </c>
      <c r="FD164">
        <v>1</v>
      </c>
      <c r="FE164">
        <v>1</v>
      </c>
      <c r="FF164">
        <v>1</v>
      </c>
      <c r="FG164">
        <v>1</v>
      </c>
      <c r="FN164">
        <v>1</v>
      </c>
      <c r="FO164">
        <v>1</v>
      </c>
      <c r="FP164">
        <v>1</v>
      </c>
    </row>
    <row r="165" spans="1:172" x14ac:dyDescent="0.25">
      <c r="A165" t="s">
        <v>193</v>
      </c>
      <c r="B165" t="s">
        <v>194</v>
      </c>
      <c r="C165" s="3">
        <v>-33.409999999999997</v>
      </c>
      <c r="D165" s="3">
        <v>-70.55</v>
      </c>
      <c r="E165" t="s">
        <v>34</v>
      </c>
      <c r="F165" t="s">
        <v>77</v>
      </c>
      <c r="G165" t="s">
        <v>106</v>
      </c>
      <c r="I165" t="s">
        <v>12</v>
      </c>
      <c r="J165" t="s">
        <v>12</v>
      </c>
      <c r="K165" t="s">
        <v>15</v>
      </c>
      <c r="L165" t="s">
        <v>195</v>
      </c>
      <c r="M165" t="s">
        <v>1084</v>
      </c>
      <c r="O165">
        <v>47.9</v>
      </c>
      <c r="BD165">
        <v>1</v>
      </c>
      <c r="BE165">
        <v>1</v>
      </c>
      <c r="BF165">
        <v>1</v>
      </c>
      <c r="BG165">
        <v>1</v>
      </c>
      <c r="BH165">
        <v>1</v>
      </c>
      <c r="BI165">
        <v>1</v>
      </c>
      <c r="BP165">
        <v>1</v>
      </c>
      <c r="BQ165">
        <v>1</v>
      </c>
      <c r="BR165">
        <v>1</v>
      </c>
      <c r="BS165">
        <v>1</v>
      </c>
      <c r="BT165">
        <v>1</v>
      </c>
      <c r="BU165">
        <v>1</v>
      </c>
      <c r="CB165">
        <v>1</v>
      </c>
      <c r="CC165">
        <v>1</v>
      </c>
      <c r="CD165">
        <v>1</v>
      </c>
      <c r="CE165">
        <v>1</v>
      </c>
      <c r="CF165">
        <v>1</v>
      </c>
      <c r="CG165">
        <v>1</v>
      </c>
      <c r="CN165">
        <v>1</v>
      </c>
      <c r="CO165">
        <v>1</v>
      </c>
      <c r="CP165">
        <v>1</v>
      </c>
      <c r="CQ165">
        <v>1</v>
      </c>
      <c r="CR165">
        <v>1</v>
      </c>
      <c r="CS165">
        <v>1</v>
      </c>
      <c r="CZ165">
        <v>1</v>
      </c>
      <c r="DA165">
        <v>1</v>
      </c>
      <c r="DB165">
        <v>1</v>
      </c>
      <c r="DC165">
        <v>1</v>
      </c>
      <c r="DD165">
        <v>1</v>
      </c>
      <c r="DE165">
        <v>1</v>
      </c>
      <c r="DL165">
        <v>1</v>
      </c>
      <c r="DM165">
        <v>1</v>
      </c>
      <c r="DN165">
        <v>1</v>
      </c>
      <c r="DO165">
        <v>1</v>
      </c>
      <c r="DP165">
        <v>1</v>
      </c>
      <c r="DQ165">
        <v>1</v>
      </c>
      <c r="DX165">
        <v>1</v>
      </c>
      <c r="DY165">
        <v>1</v>
      </c>
      <c r="DZ165">
        <v>1</v>
      </c>
      <c r="EA165">
        <v>1</v>
      </c>
      <c r="EB165">
        <v>1</v>
      </c>
      <c r="EC165">
        <v>1</v>
      </c>
      <c r="EJ165">
        <v>1</v>
      </c>
      <c r="EK165">
        <v>1</v>
      </c>
      <c r="EL165">
        <v>1</v>
      </c>
      <c r="EM165">
        <v>1</v>
      </c>
      <c r="EN165">
        <v>1</v>
      </c>
      <c r="EO165">
        <v>1</v>
      </c>
      <c r="EV165">
        <v>1</v>
      </c>
      <c r="EW165">
        <v>1</v>
      </c>
      <c r="EX165">
        <v>1</v>
      </c>
      <c r="EY165">
        <v>1</v>
      </c>
      <c r="EZ165">
        <v>1</v>
      </c>
      <c r="FA165">
        <v>1</v>
      </c>
      <c r="FH165">
        <v>1</v>
      </c>
      <c r="FI165">
        <v>1</v>
      </c>
      <c r="FJ165">
        <v>1</v>
      </c>
      <c r="FK165">
        <v>1</v>
      </c>
      <c r="FL165">
        <v>1</v>
      </c>
      <c r="FM165">
        <v>1</v>
      </c>
    </row>
    <row r="166" spans="1:172" x14ac:dyDescent="0.25">
      <c r="A166" t="s">
        <v>193</v>
      </c>
      <c r="B166" t="s">
        <v>194</v>
      </c>
      <c r="C166" s="3">
        <v>-33.409999999999997</v>
      </c>
      <c r="D166" s="3">
        <v>-70.55</v>
      </c>
      <c r="E166" t="s">
        <v>34</v>
      </c>
      <c r="F166" t="s">
        <v>77</v>
      </c>
      <c r="G166" t="s">
        <v>106</v>
      </c>
      <c r="I166" t="s">
        <v>12</v>
      </c>
      <c r="J166" t="s">
        <v>12</v>
      </c>
      <c r="K166" t="s">
        <v>15</v>
      </c>
      <c r="L166" t="s">
        <v>195</v>
      </c>
      <c r="M166" t="s">
        <v>1084</v>
      </c>
      <c r="O166">
        <v>19.5</v>
      </c>
      <c r="BA166">
        <v>1</v>
      </c>
      <c r="BB166">
        <v>1</v>
      </c>
      <c r="BC166">
        <v>1</v>
      </c>
      <c r="BJ166">
        <v>1</v>
      </c>
      <c r="BK166">
        <v>1</v>
      </c>
      <c r="BL166">
        <v>1</v>
      </c>
      <c r="BM166">
        <v>1</v>
      </c>
      <c r="BN166">
        <v>1</v>
      </c>
      <c r="BO166">
        <v>1</v>
      </c>
      <c r="BV166">
        <v>1</v>
      </c>
      <c r="BW166">
        <v>1</v>
      </c>
      <c r="BX166">
        <v>1</v>
      </c>
      <c r="BY166">
        <v>1</v>
      </c>
      <c r="BZ166">
        <v>1</v>
      </c>
      <c r="CA166">
        <v>1</v>
      </c>
      <c r="CH166">
        <v>1</v>
      </c>
      <c r="CI166">
        <v>1</v>
      </c>
      <c r="CJ166">
        <v>1</v>
      </c>
      <c r="CK166">
        <v>1</v>
      </c>
      <c r="CL166">
        <v>1</v>
      </c>
      <c r="CM166">
        <v>1</v>
      </c>
      <c r="CT166">
        <v>1</v>
      </c>
      <c r="CU166">
        <v>1</v>
      </c>
      <c r="CV166">
        <v>1</v>
      </c>
      <c r="CW166">
        <v>1</v>
      </c>
      <c r="CX166">
        <v>1</v>
      </c>
      <c r="CY166">
        <v>1</v>
      </c>
      <c r="DF166">
        <v>1</v>
      </c>
      <c r="DG166">
        <v>1</v>
      </c>
      <c r="DH166">
        <v>1</v>
      </c>
      <c r="DI166">
        <v>1</v>
      </c>
      <c r="DJ166">
        <v>1</v>
      </c>
      <c r="DK166">
        <v>1</v>
      </c>
      <c r="DR166">
        <v>1</v>
      </c>
      <c r="DS166">
        <v>1</v>
      </c>
      <c r="DT166">
        <v>1</v>
      </c>
      <c r="DU166">
        <v>1</v>
      </c>
      <c r="DV166">
        <v>1</v>
      </c>
      <c r="DW166">
        <v>1</v>
      </c>
      <c r="ED166">
        <v>1</v>
      </c>
      <c r="EE166">
        <v>1</v>
      </c>
      <c r="EF166">
        <v>1</v>
      </c>
      <c r="EG166">
        <v>1</v>
      </c>
      <c r="EH166">
        <v>1</v>
      </c>
      <c r="EI166">
        <v>1</v>
      </c>
      <c r="EP166">
        <v>1</v>
      </c>
      <c r="EQ166">
        <v>1</v>
      </c>
      <c r="ER166">
        <v>1</v>
      </c>
      <c r="ES166">
        <v>1</v>
      </c>
      <c r="ET166">
        <v>1</v>
      </c>
      <c r="EU166">
        <v>1</v>
      </c>
      <c r="FB166">
        <v>1</v>
      </c>
      <c r="FC166">
        <v>1</v>
      </c>
      <c r="FD166">
        <v>1</v>
      </c>
      <c r="FE166">
        <v>1</v>
      </c>
      <c r="FF166">
        <v>1</v>
      </c>
      <c r="FG166">
        <v>1</v>
      </c>
      <c r="FN166">
        <v>1</v>
      </c>
      <c r="FO166">
        <v>1</v>
      </c>
      <c r="FP166">
        <v>1</v>
      </c>
    </row>
    <row r="167" spans="1:172" x14ac:dyDescent="0.25">
      <c r="A167" t="s">
        <v>535</v>
      </c>
      <c r="B167" t="s">
        <v>194</v>
      </c>
      <c r="C167" s="3">
        <v>-38.74</v>
      </c>
      <c r="D167" s="3">
        <v>-72.58</v>
      </c>
      <c r="E167" t="s">
        <v>12</v>
      </c>
      <c r="F167" t="s">
        <v>19</v>
      </c>
      <c r="G167" t="s">
        <v>106</v>
      </c>
      <c r="I167" t="s">
        <v>12</v>
      </c>
      <c r="J167" t="s">
        <v>12</v>
      </c>
      <c r="K167" t="s">
        <v>15</v>
      </c>
      <c r="L167" t="s">
        <v>540</v>
      </c>
      <c r="M167" t="s">
        <v>924</v>
      </c>
      <c r="O167">
        <v>35.200000000000003</v>
      </c>
      <c r="P167">
        <v>2.6</v>
      </c>
      <c r="BA167">
        <v>1</v>
      </c>
      <c r="BB167">
        <v>1</v>
      </c>
      <c r="BC167">
        <v>1</v>
      </c>
      <c r="BD167">
        <v>1</v>
      </c>
      <c r="BE167">
        <v>1</v>
      </c>
      <c r="BF167">
        <v>1</v>
      </c>
      <c r="BG167">
        <v>1</v>
      </c>
      <c r="BH167">
        <v>1</v>
      </c>
      <c r="BI167">
        <v>1</v>
      </c>
      <c r="BJ167">
        <v>1</v>
      </c>
      <c r="BK167">
        <v>1</v>
      </c>
      <c r="BL167">
        <v>1</v>
      </c>
    </row>
    <row r="168" spans="1:172" x14ac:dyDescent="0.25">
      <c r="A168" t="s">
        <v>553</v>
      </c>
      <c r="B168" t="s">
        <v>194</v>
      </c>
      <c r="C168" s="3">
        <f>-(22+5/60)</f>
        <v>-22.083333333333332</v>
      </c>
      <c r="D168" s="3">
        <f>-(70+12/60)</f>
        <v>-70.2</v>
      </c>
      <c r="E168" t="s">
        <v>12</v>
      </c>
      <c r="F168" t="s">
        <v>8</v>
      </c>
      <c r="G168" t="s">
        <v>97</v>
      </c>
      <c r="I168" t="s">
        <v>12</v>
      </c>
      <c r="J168" t="s">
        <v>12</v>
      </c>
      <c r="K168" t="s">
        <v>15</v>
      </c>
      <c r="L168" t="s">
        <v>554</v>
      </c>
      <c r="M168" t="s">
        <v>916</v>
      </c>
      <c r="O168">
        <f>AVERAGE(22.4,20,23.4)</f>
        <v>21.933333333333334</v>
      </c>
      <c r="P168">
        <f>AVERAGE(5.4,6,7)</f>
        <v>6.1333333333333329</v>
      </c>
      <c r="EU168">
        <v>0.5</v>
      </c>
      <c r="EV168">
        <v>0.5</v>
      </c>
    </row>
    <row r="169" spans="1:172" x14ac:dyDescent="0.25">
      <c r="A169" t="s">
        <v>538</v>
      </c>
      <c r="B169" t="s">
        <v>194</v>
      </c>
      <c r="C169" s="3">
        <v>-33.049999999999997</v>
      </c>
      <c r="D169" s="3">
        <v>-71.62</v>
      </c>
      <c r="E169" t="s">
        <v>12</v>
      </c>
      <c r="F169" t="s">
        <v>19</v>
      </c>
      <c r="G169" t="s">
        <v>106</v>
      </c>
      <c r="I169" t="s">
        <v>12</v>
      </c>
      <c r="J169" t="s">
        <v>12</v>
      </c>
      <c r="K169" t="s">
        <v>15</v>
      </c>
      <c r="L169" t="s">
        <v>540</v>
      </c>
      <c r="M169" t="s">
        <v>924</v>
      </c>
      <c r="O169">
        <v>35.700000000000003</v>
      </c>
      <c r="P169">
        <v>1.8</v>
      </c>
      <c r="BA169">
        <v>1</v>
      </c>
      <c r="BB169">
        <v>1</v>
      </c>
      <c r="BC169">
        <v>1</v>
      </c>
      <c r="BD169">
        <v>1</v>
      </c>
      <c r="BE169">
        <v>1</v>
      </c>
      <c r="BF169">
        <v>1</v>
      </c>
      <c r="BG169">
        <v>1</v>
      </c>
      <c r="BH169">
        <v>1</v>
      </c>
      <c r="BI169">
        <v>1</v>
      </c>
      <c r="BJ169">
        <v>1</v>
      </c>
      <c r="BK169">
        <v>1</v>
      </c>
      <c r="BL169">
        <v>1</v>
      </c>
    </row>
    <row r="170" spans="1:172" x14ac:dyDescent="0.25">
      <c r="A170" t="s">
        <v>537</v>
      </c>
      <c r="B170" t="s">
        <v>194</v>
      </c>
      <c r="C170" s="3">
        <v>-33.03</v>
      </c>
      <c r="D170" s="3">
        <v>-71.510000000000005</v>
      </c>
      <c r="E170" t="s">
        <v>12</v>
      </c>
      <c r="F170" t="s">
        <v>19</v>
      </c>
      <c r="G170" t="s">
        <v>106</v>
      </c>
      <c r="I170" t="s">
        <v>12</v>
      </c>
      <c r="J170" t="s">
        <v>12</v>
      </c>
      <c r="K170" t="s">
        <v>15</v>
      </c>
      <c r="L170" t="s">
        <v>540</v>
      </c>
      <c r="M170" t="s">
        <v>924</v>
      </c>
      <c r="O170">
        <v>19.8</v>
      </c>
      <c r="P170">
        <v>2.4</v>
      </c>
      <c r="BA170">
        <v>1</v>
      </c>
      <c r="BB170">
        <v>1</v>
      </c>
      <c r="BC170">
        <v>1</v>
      </c>
      <c r="BD170">
        <v>1</v>
      </c>
      <c r="BE170">
        <v>1</v>
      </c>
      <c r="BF170">
        <v>1</v>
      </c>
      <c r="BG170">
        <v>1</v>
      </c>
      <c r="BH170">
        <v>1</v>
      </c>
      <c r="BI170">
        <v>1</v>
      </c>
      <c r="BJ170">
        <v>1</v>
      </c>
      <c r="BK170">
        <v>1</v>
      </c>
      <c r="BL170">
        <v>1</v>
      </c>
    </row>
    <row r="171" spans="1:172" x14ac:dyDescent="0.25">
      <c r="A171" t="s">
        <v>584</v>
      </c>
      <c r="B171" t="s">
        <v>54</v>
      </c>
      <c r="C171" s="3">
        <f t="shared" ref="C171:C178" si="0">41+8/60</f>
        <v>41.133333333333333</v>
      </c>
      <c r="D171" s="3">
        <f t="shared" ref="D171:D178" si="1">122+57/60</f>
        <v>122.95</v>
      </c>
      <c r="E171" t="s">
        <v>12</v>
      </c>
      <c r="F171" t="s">
        <v>22</v>
      </c>
      <c r="G171" t="s">
        <v>97</v>
      </c>
      <c r="H171">
        <v>35</v>
      </c>
      <c r="I171" t="s">
        <v>12</v>
      </c>
      <c r="J171" t="s">
        <v>12</v>
      </c>
      <c r="K171" t="s">
        <v>15</v>
      </c>
      <c r="L171" t="s">
        <v>587</v>
      </c>
      <c r="M171" t="s">
        <v>890</v>
      </c>
      <c r="O171">
        <f>142/AVERAGE(142,107,69,86)*123</f>
        <v>172.93069306930693</v>
      </c>
      <c r="DU171">
        <v>0.5</v>
      </c>
      <c r="EG171">
        <v>0.5</v>
      </c>
    </row>
    <row r="172" spans="1:172" x14ac:dyDescent="0.25">
      <c r="A172" t="s">
        <v>584</v>
      </c>
      <c r="B172" t="s">
        <v>54</v>
      </c>
      <c r="C172" s="3">
        <f t="shared" si="0"/>
        <v>41.133333333333333</v>
      </c>
      <c r="D172" s="3">
        <f t="shared" si="1"/>
        <v>122.95</v>
      </c>
      <c r="E172" t="s">
        <v>12</v>
      </c>
      <c r="F172" t="s">
        <v>22</v>
      </c>
      <c r="G172" t="s">
        <v>97</v>
      </c>
      <c r="H172">
        <v>35</v>
      </c>
      <c r="I172" t="s">
        <v>12</v>
      </c>
      <c r="J172" t="s">
        <v>12</v>
      </c>
      <c r="K172" t="s">
        <v>15</v>
      </c>
      <c r="L172" t="s">
        <v>587</v>
      </c>
      <c r="M172" t="s">
        <v>890</v>
      </c>
      <c r="O172">
        <f>107/AVERAGE(142,107,69,86)*123</f>
        <v>130.30693069306932</v>
      </c>
      <c r="DX172">
        <v>0.5</v>
      </c>
      <c r="EJ172">
        <v>0.5</v>
      </c>
    </row>
    <row r="173" spans="1:172" x14ac:dyDescent="0.25">
      <c r="A173" t="s">
        <v>584</v>
      </c>
      <c r="B173" t="s">
        <v>54</v>
      </c>
      <c r="C173" s="3">
        <f t="shared" si="0"/>
        <v>41.133333333333333</v>
      </c>
      <c r="D173" s="3">
        <f t="shared" si="1"/>
        <v>122.95</v>
      </c>
      <c r="E173" t="s">
        <v>12</v>
      </c>
      <c r="F173" t="s">
        <v>22</v>
      </c>
      <c r="G173" t="s">
        <v>97</v>
      </c>
      <c r="H173">
        <v>35</v>
      </c>
      <c r="I173" t="s">
        <v>12</v>
      </c>
      <c r="J173" t="s">
        <v>12</v>
      </c>
      <c r="K173" t="s">
        <v>15</v>
      </c>
      <c r="L173" t="s">
        <v>587</v>
      </c>
      <c r="M173" t="s">
        <v>890</v>
      </c>
      <c r="O173">
        <f>69/AVERAGE(142,107,69,86)*123</f>
        <v>84.029702970297038</v>
      </c>
      <c r="EA173">
        <v>0.5</v>
      </c>
      <c r="EM173">
        <v>0.5</v>
      </c>
    </row>
    <row r="174" spans="1:172" x14ac:dyDescent="0.25">
      <c r="A174" t="s">
        <v>584</v>
      </c>
      <c r="B174" t="s">
        <v>54</v>
      </c>
      <c r="C174" s="3">
        <f t="shared" si="0"/>
        <v>41.133333333333333</v>
      </c>
      <c r="D174" s="3">
        <f t="shared" si="1"/>
        <v>122.95</v>
      </c>
      <c r="E174" t="s">
        <v>12</v>
      </c>
      <c r="F174" t="s">
        <v>22</v>
      </c>
      <c r="G174" t="s">
        <v>97</v>
      </c>
      <c r="H174">
        <v>35</v>
      </c>
      <c r="I174" t="s">
        <v>12</v>
      </c>
      <c r="J174" t="s">
        <v>12</v>
      </c>
      <c r="K174" t="s">
        <v>15</v>
      </c>
      <c r="L174" t="s">
        <v>587</v>
      </c>
      <c r="M174" t="s">
        <v>890</v>
      </c>
      <c r="O174">
        <f>86/AVERAGE(142,107,69,86)*123</f>
        <v>104.73267326732673</v>
      </c>
      <c r="ED174">
        <v>0.5</v>
      </c>
      <c r="EP174">
        <v>0.5</v>
      </c>
    </row>
    <row r="175" spans="1:172" x14ac:dyDescent="0.25">
      <c r="A175" t="s">
        <v>584</v>
      </c>
      <c r="B175" t="s">
        <v>54</v>
      </c>
      <c r="C175" s="3">
        <f t="shared" si="0"/>
        <v>41.133333333333333</v>
      </c>
      <c r="D175" s="3">
        <f t="shared" si="1"/>
        <v>122.95</v>
      </c>
      <c r="E175" t="s">
        <v>12</v>
      </c>
      <c r="F175" t="s">
        <v>21</v>
      </c>
      <c r="G175" t="s">
        <v>97</v>
      </c>
      <c r="H175">
        <v>35</v>
      </c>
      <c r="I175" t="s">
        <v>12</v>
      </c>
      <c r="J175" t="s">
        <v>12</v>
      </c>
      <c r="K175" t="s">
        <v>15</v>
      </c>
      <c r="L175" t="s">
        <v>587</v>
      </c>
      <c r="M175" t="s">
        <v>890</v>
      </c>
      <c r="O175">
        <f>142/AVERAGE(142,107,69,86)*90</f>
        <v>126.53465346534652</v>
      </c>
      <c r="DU175">
        <v>0.5</v>
      </c>
      <c r="EG175">
        <v>0.5</v>
      </c>
    </row>
    <row r="176" spans="1:172" x14ac:dyDescent="0.25">
      <c r="A176" t="s">
        <v>584</v>
      </c>
      <c r="B176" t="s">
        <v>54</v>
      </c>
      <c r="C176" s="3">
        <f t="shared" si="0"/>
        <v>41.133333333333333</v>
      </c>
      <c r="D176" s="3">
        <f t="shared" si="1"/>
        <v>122.95</v>
      </c>
      <c r="E176" t="s">
        <v>12</v>
      </c>
      <c r="F176" t="s">
        <v>21</v>
      </c>
      <c r="G176" t="s">
        <v>97</v>
      </c>
      <c r="H176">
        <v>35</v>
      </c>
      <c r="I176" t="s">
        <v>12</v>
      </c>
      <c r="J176" t="s">
        <v>12</v>
      </c>
      <c r="K176" t="s">
        <v>15</v>
      </c>
      <c r="L176" t="s">
        <v>587</v>
      </c>
      <c r="M176" t="s">
        <v>890</v>
      </c>
      <c r="O176">
        <f>107/AVERAGE(142,107,69,86)*90</f>
        <v>95.346534653465355</v>
      </c>
      <c r="DX176">
        <v>0.5</v>
      </c>
      <c r="EJ176">
        <v>0.5</v>
      </c>
    </row>
    <row r="177" spans="1:146" x14ac:dyDescent="0.25">
      <c r="A177" t="s">
        <v>584</v>
      </c>
      <c r="B177" t="s">
        <v>54</v>
      </c>
      <c r="C177" s="3">
        <f t="shared" si="0"/>
        <v>41.133333333333333</v>
      </c>
      <c r="D177" s="3">
        <f t="shared" si="1"/>
        <v>122.95</v>
      </c>
      <c r="E177" t="s">
        <v>12</v>
      </c>
      <c r="F177" t="s">
        <v>21</v>
      </c>
      <c r="G177" t="s">
        <v>97</v>
      </c>
      <c r="H177">
        <v>35</v>
      </c>
      <c r="I177" t="s">
        <v>12</v>
      </c>
      <c r="J177" t="s">
        <v>12</v>
      </c>
      <c r="K177" t="s">
        <v>15</v>
      </c>
      <c r="L177" t="s">
        <v>587</v>
      </c>
      <c r="M177" t="s">
        <v>890</v>
      </c>
      <c r="O177">
        <f>69/AVERAGE(142,107,69,86)*90</f>
        <v>61.485148514851488</v>
      </c>
      <c r="EA177">
        <v>0.5</v>
      </c>
      <c r="EM177">
        <v>0.5</v>
      </c>
    </row>
    <row r="178" spans="1:146" x14ac:dyDescent="0.25">
      <c r="A178" t="s">
        <v>584</v>
      </c>
      <c r="B178" t="s">
        <v>54</v>
      </c>
      <c r="C178" s="3">
        <f t="shared" si="0"/>
        <v>41.133333333333333</v>
      </c>
      <c r="D178" s="3">
        <f t="shared" si="1"/>
        <v>122.95</v>
      </c>
      <c r="E178" t="s">
        <v>12</v>
      </c>
      <c r="F178" t="s">
        <v>21</v>
      </c>
      <c r="G178" t="s">
        <v>97</v>
      </c>
      <c r="H178">
        <v>35</v>
      </c>
      <c r="I178" t="s">
        <v>12</v>
      </c>
      <c r="J178" t="s">
        <v>12</v>
      </c>
      <c r="K178" t="s">
        <v>15</v>
      </c>
      <c r="L178" t="s">
        <v>587</v>
      </c>
      <c r="M178" t="s">
        <v>890</v>
      </c>
      <c r="O178">
        <f>86/AVERAGE(142,107,69,86)*90</f>
        <v>76.633663366336634</v>
      </c>
      <c r="ED178">
        <v>0.5</v>
      </c>
      <c r="EP178">
        <v>0.5</v>
      </c>
    </row>
    <row r="179" spans="1:146" x14ac:dyDescent="0.25">
      <c r="A179" t="s">
        <v>63</v>
      </c>
      <c r="B179" t="s">
        <v>54</v>
      </c>
      <c r="C179" s="3">
        <v>39.9</v>
      </c>
      <c r="D179" s="3">
        <v>116.4</v>
      </c>
      <c r="E179" t="s">
        <v>15</v>
      </c>
      <c r="F179" t="s">
        <v>77</v>
      </c>
      <c r="G179" t="s">
        <v>716</v>
      </c>
      <c r="I179" t="s">
        <v>15</v>
      </c>
      <c r="J179" t="s">
        <v>12</v>
      </c>
      <c r="K179" t="s">
        <v>12</v>
      </c>
      <c r="L179" t="s">
        <v>761</v>
      </c>
      <c r="M179" t="s">
        <v>819</v>
      </c>
      <c r="O179">
        <v>126.5</v>
      </c>
      <c r="P179">
        <v>66.099999999999994</v>
      </c>
      <c r="DI179">
        <v>1</v>
      </c>
    </row>
    <row r="180" spans="1:146" x14ac:dyDescent="0.25">
      <c r="A180" t="s">
        <v>63</v>
      </c>
      <c r="B180" t="s">
        <v>54</v>
      </c>
      <c r="C180" s="3">
        <v>39.9</v>
      </c>
      <c r="D180" s="3">
        <v>116.4</v>
      </c>
      <c r="E180" t="s">
        <v>15</v>
      </c>
      <c r="F180" t="s">
        <v>77</v>
      </c>
      <c r="G180" t="s">
        <v>716</v>
      </c>
      <c r="I180" t="s">
        <v>15</v>
      </c>
      <c r="J180" t="s">
        <v>12</v>
      </c>
      <c r="K180" t="s">
        <v>12</v>
      </c>
      <c r="L180" t="s">
        <v>761</v>
      </c>
      <c r="M180" t="s">
        <v>819</v>
      </c>
      <c r="O180">
        <v>117.2</v>
      </c>
      <c r="P180">
        <v>48.3</v>
      </c>
      <c r="DN180">
        <v>1</v>
      </c>
      <c r="DO180">
        <v>1</v>
      </c>
    </row>
    <row r="181" spans="1:146" x14ac:dyDescent="0.25">
      <c r="A181" t="s">
        <v>63</v>
      </c>
      <c r="B181" t="s">
        <v>54</v>
      </c>
      <c r="C181" s="3">
        <v>40.130000000000003</v>
      </c>
      <c r="D181" s="3">
        <v>117.12</v>
      </c>
      <c r="E181" t="s">
        <v>12</v>
      </c>
      <c r="F181" t="s">
        <v>20</v>
      </c>
      <c r="G181" t="s">
        <v>106</v>
      </c>
      <c r="I181" t="s">
        <v>15</v>
      </c>
      <c r="J181" t="s">
        <v>12</v>
      </c>
      <c r="K181" t="s">
        <v>12</v>
      </c>
      <c r="L181" t="s">
        <v>679</v>
      </c>
      <c r="M181" t="s">
        <v>849</v>
      </c>
      <c r="O181">
        <v>121.7</v>
      </c>
      <c r="P181">
        <v>55</v>
      </c>
      <c r="CQ181">
        <v>1</v>
      </c>
      <c r="CR181">
        <v>1</v>
      </c>
    </row>
    <row r="182" spans="1:146" x14ac:dyDescent="0.25">
      <c r="A182" t="s">
        <v>63</v>
      </c>
      <c r="B182" t="s">
        <v>54</v>
      </c>
      <c r="C182" s="3">
        <v>40.36</v>
      </c>
      <c r="D182" s="3">
        <v>116.84</v>
      </c>
      <c r="E182" t="s">
        <v>12</v>
      </c>
      <c r="F182" t="s">
        <v>20</v>
      </c>
      <c r="G182" t="s">
        <v>106</v>
      </c>
      <c r="I182" t="s">
        <v>15</v>
      </c>
      <c r="J182" t="s">
        <v>12</v>
      </c>
      <c r="K182" t="s">
        <v>12</v>
      </c>
      <c r="L182" t="s">
        <v>679</v>
      </c>
      <c r="M182" t="s">
        <v>849</v>
      </c>
      <c r="O182">
        <v>683.1</v>
      </c>
      <c r="P182">
        <v>233.5</v>
      </c>
      <c r="CV182">
        <v>1</v>
      </c>
    </row>
    <row r="183" spans="1:146" x14ac:dyDescent="0.25">
      <c r="A183" t="s">
        <v>63</v>
      </c>
      <c r="B183" t="s">
        <v>54</v>
      </c>
      <c r="C183" s="3">
        <v>40.36</v>
      </c>
      <c r="D183" s="3">
        <v>116.84</v>
      </c>
      <c r="E183" t="s">
        <v>12</v>
      </c>
      <c r="F183" t="s">
        <v>20</v>
      </c>
      <c r="G183" t="s">
        <v>106</v>
      </c>
      <c r="I183" t="s">
        <v>15</v>
      </c>
      <c r="J183" t="s">
        <v>12</v>
      </c>
      <c r="K183" t="s">
        <v>12</v>
      </c>
      <c r="L183" t="s">
        <v>679</v>
      </c>
      <c r="M183" t="s">
        <v>849</v>
      </c>
      <c r="O183">
        <v>76.099999999999994</v>
      </c>
      <c r="P183">
        <v>53.4</v>
      </c>
      <c r="DK183">
        <v>1</v>
      </c>
    </row>
    <row r="184" spans="1:146" x14ac:dyDescent="0.25">
      <c r="A184" t="s">
        <v>63</v>
      </c>
      <c r="B184" t="s">
        <v>54</v>
      </c>
      <c r="C184" s="3">
        <v>39.96</v>
      </c>
      <c r="D184" s="3">
        <v>116.37</v>
      </c>
      <c r="E184" t="s">
        <v>34</v>
      </c>
      <c r="F184" t="s">
        <v>34</v>
      </c>
      <c r="G184" t="s">
        <v>106</v>
      </c>
      <c r="I184" t="s">
        <v>15</v>
      </c>
      <c r="J184" t="s">
        <v>12</v>
      </c>
      <c r="K184" t="s">
        <v>12</v>
      </c>
      <c r="L184" t="s">
        <v>679</v>
      </c>
      <c r="M184" t="s">
        <v>849</v>
      </c>
      <c r="O184">
        <v>104.1</v>
      </c>
      <c r="P184">
        <v>45.1</v>
      </c>
      <c r="CQ184">
        <v>1</v>
      </c>
      <c r="CR184">
        <v>1</v>
      </c>
    </row>
    <row r="185" spans="1:146" x14ac:dyDescent="0.25">
      <c r="A185" t="s">
        <v>63</v>
      </c>
      <c r="B185" t="s">
        <v>54</v>
      </c>
      <c r="C185" s="3">
        <v>39.96</v>
      </c>
      <c r="D185" s="3">
        <v>116.37</v>
      </c>
      <c r="E185" t="s">
        <v>34</v>
      </c>
      <c r="F185" t="s">
        <v>34</v>
      </c>
      <c r="G185" t="s">
        <v>106</v>
      </c>
      <c r="I185" t="s">
        <v>15</v>
      </c>
      <c r="J185" t="s">
        <v>12</v>
      </c>
      <c r="K185" t="s">
        <v>12</v>
      </c>
      <c r="L185" t="s">
        <v>679</v>
      </c>
      <c r="M185" t="s">
        <v>849</v>
      </c>
      <c r="O185">
        <v>257.60000000000002</v>
      </c>
      <c r="P185">
        <v>41.2</v>
      </c>
      <c r="CV185">
        <v>1</v>
      </c>
    </row>
    <row r="186" spans="1:146" x14ac:dyDescent="0.25">
      <c r="A186" t="s">
        <v>63</v>
      </c>
      <c r="B186" t="s">
        <v>54</v>
      </c>
      <c r="C186" s="3">
        <v>39.96</v>
      </c>
      <c r="D186" s="3">
        <v>116.37</v>
      </c>
      <c r="E186" t="s">
        <v>34</v>
      </c>
      <c r="F186" t="s">
        <v>34</v>
      </c>
      <c r="G186" t="s">
        <v>106</v>
      </c>
      <c r="I186" t="s">
        <v>15</v>
      </c>
      <c r="J186" t="s">
        <v>12</v>
      </c>
      <c r="K186" t="s">
        <v>12</v>
      </c>
      <c r="L186" t="s">
        <v>679</v>
      </c>
      <c r="M186" t="s">
        <v>849</v>
      </c>
      <c r="O186">
        <v>99.4</v>
      </c>
      <c r="P186">
        <v>33.9</v>
      </c>
      <c r="DB186">
        <v>1</v>
      </c>
      <c r="DC186">
        <v>1</v>
      </c>
    </row>
    <row r="187" spans="1:146" x14ac:dyDescent="0.25">
      <c r="A187" t="s">
        <v>63</v>
      </c>
      <c r="B187" t="s">
        <v>54</v>
      </c>
      <c r="C187" s="3">
        <v>39.96</v>
      </c>
      <c r="D187" s="3">
        <v>116.37</v>
      </c>
      <c r="E187" t="s">
        <v>34</v>
      </c>
      <c r="F187" t="s">
        <v>34</v>
      </c>
      <c r="G187" t="s">
        <v>106</v>
      </c>
      <c r="I187" t="s">
        <v>15</v>
      </c>
      <c r="J187" t="s">
        <v>12</v>
      </c>
      <c r="K187" t="s">
        <v>12</v>
      </c>
      <c r="L187" t="s">
        <v>679</v>
      </c>
      <c r="M187" t="s">
        <v>849</v>
      </c>
      <c r="O187">
        <v>151.4</v>
      </c>
      <c r="P187">
        <v>126.8</v>
      </c>
      <c r="DH187">
        <v>1</v>
      </c>
    </row>
    <row r="188" spans="1:146" x14ac:dyDescent="0.25">
      <c r="A188" t="s">
        <v>63</v>
      </c>
      <c r="B188" t="s">
        <v>54</v>
      </c>
      <c r="C188" s="3">
        <v>39.96</v>
      </c>
      <c r="D188" s="3">
        <v>116.37</v>
      </c>
      <c r="E188" t="s">
        <v>34</v>
      </c>
      <c r="F188" t="s">
        <v>34</v>
      </c>
      <c r="G188" t="s">
        <v>106</v>
      </c>
      <c r="I188" t="s">
        <v>15</v>
      </c>
      <c r="J188" t="s">
        <v>12</v>
      </c>
      <c r="K188" t="s">
        <v>12</v>
      </c>
      <c r="L188" t="s">
        <v>679</v>
      </c>
      <c r="M188" t="s">
        <v>849</v>
      </c>
      <c r="O188">
        <v>80.2</v>
      </c>
      <c r="P188">
        <v>80.2</v>
      </c>
      <c r="DK188">
        <v>1</v>
      </c>
    </row>
    <row r="189" spans="1:146" x14ac:dyDescent="0.25">
      <c r="A189" t="s">
        <v>63</v>
      </c>
      <c r="B189" t="s">
        <v>54</v>
      </c>
      <c r="C189" s="3">
        <v>39.94</v>
      </c>
      <c r="D189" s="3">
        <v>116.31</v>
      </c>
      <c r="E189" t="s">
        <v>12</v>
      </c>
      <c r="F189" t="s">
        <v>22</v>
      </c>
      <c r="G189" t="s">
        <v>106</v>
      </c>
      <c r="I189" t="s">
        <v>15</v>
      </c>
      <c r="J189" t="s">
        <v>12</v>
      </c>
      <c r="K189" t="s">
        <v>12</v>
      </c>
      <c r="L189" t="s">
        <v>679</v>
      </c>
      <c r="M189" t="s">
        <v>849</v>
      </c>
      <c r="O189">
        <v>86.7</v>
      </c>
      <c r="P189">
        <v>30.3</v>
      </c>
      <c r="DB189">
        <v>1</v>
      </c>
      <c r="DC189">
        <v>1</v>
      </c>
    </row>
    <row r="190" spans="1:146" x14ac:dyDescent="0.25">
      <c r="A190" t="s">
        <v>63</v>
      </c>
      <c r="B190" t="s">
        <v>54</v>
      </c>
      <c r="C190" s="3">
        <v>39.94</v>
      </c>
      <c r="D190" s="3">
        <v>116.31</v>
      </c>
      <c r="E190" t="s">
        <v>12</v>
      </c>
      <c r="F190" t="s">
        <v>22</v>
      </c>
      <c r="G190" t="s">
        <v>106</v>
      </c>
      <c r="I190" t="s">
        <v>15</v>
      </c>
      <c r="J190" t="s">
        <v>12</v>
      </c>
      <c r="K190" t="s">
        <v>12</v>
      </c>
      <c r="L190" t="s">
        <v>679</v>
      </c>
      <c r="M190" t="s">
        <v>849</v>
      </c>
      <c r="O190">
        <v>171.7</v>
      </c>
      <c r="P190">
        <v>141.69999999999999</v>
      </c>
      <c r="DH190">
        <v>1</v>
      </c>
    </row>
    <row r="191" spans="1:146" x14ac:dyDescent="0.25">
      <c r="A191" t="s">
        <v>63</v>
      </c>
      <c r="B191" t="s">
        <v>54</v>
      </c>
      <c r="C191" s="3">
        <v>39.799999999999997</v>
      </c>
      <c r="D191" s="3">
        <v>116.41</v>
      </c>
      <c r="E191" t="s">
        <v>12</v>
      </c>
      <c r="F191" t="s">
        <v>21</v>
      </c>
      <c r="G191" t="s">
        <v>106</v>
      </c>
      <c r="I191" t="s">
        <v>15</v>
      </c>
      <c r="J191" t="s">
        <v>12</v>
      </c>
      <c r="K191" t="s">
        <v>12</v>
      </c>
      <c r="L191" t="s">
        <v>679</v>
      </c>
      <c r="M191" t="s">
        <v>849</v>
      </c>
      <c r="O191">
        <v>86.8</v>
      </c>
      <c r="P191">
        <v>29.6</v>
      </c>
      <c r="DB191">
        <v>1</v>
      </c>
      <c r="DC191">
        <v>1</v>
      </c>
    </row>
    <row r="192" spans="1:146" x14ac:dyDescent="0.25">
      <c r="A192" t="s">
        <v>63</v>
      </c>
      <c r="B192" t="s">
        <v>54</v>
      </c>
      <c r="C192" s="3">
        <v>39.799999999999997</v>
      </c>
      <c r="D192" s="3">
        <v>116.41</v>
      </c>
      <c r="E192" t="s">
        <v>12</v>
      </c>
      <c r="F192" t="s">
        <v>21</v>
      </c>
      <c r="G192" t="s">
        <v>106</v>
      </c>
      <c r="I192" t="s">
        <v>15</v>
      </c>
      <c r="J192" t="s">
        <v>12</v>
      </c>
      <c r="K192" t="s">
        <v>12</v>
      </c>
      <c r="L192" t="s">
        <v>679</v>
      </c>
      <c r="M192" t="s">
        <v>849</v>
      </c>
      <c r="O192">
        <v>180</v>
      </c>
      <c r="P192">
        <v>77.900000000000006</v>
      </c>
      <c r="DH192">
        <v>1</v>
      </c>
    </row>
    <row r="193" spans="1:168" x14ac:dyDescent="0.25">
      <c r="A193" t="s">
        <v>63</v>
      </c>
      <c r="B193" t="s">
        <v>54</v>
      </c>
      <c r="C193" s="3">
        <v>39.9</v>
      </c>
      <c r="D193" s="3">
        <v>116.4</v>
      </c>
      <c r="E193" t="s">
        <v>12</v>
      </c>
      <c r="F193" t="s">
        <v>77</v>
      </c>
      <c r="G193" t="s">
        <v>106</v>
      </c>
      <c r="I193" t="s">
        <v>15</v>
      </c>
      <c r="J193" t="s">
        <v>12</v>
      </c>
      <c r="K193" t="s">
        <v>12</v>
      </c>
      <c r="L193" t="s">
        <v>679</v>
      </c>
      <c r="M193" t="s">
        <v>849</v>
      </c>
      <c r="O193">
        <v>91.1</v>
      </c>
      <c r="P193">
        <v>30.9</v>
      </c>
      <c r="DB193">
        <v>1</v>
      </c>
      <c r="DC193">
        <v>1</v>
      </c>
    </row>
    <row r="194" spans="1:168" x14ac:dyDescent="0.25">
      <c r="A194" t="s">
        <v>63</v>
      </c>
      <c r="B194" t="s">
        <v>54</v>
      </c>
      <c r="C194" s="3">
        <v>39.9</v>
      </c>
      <c r="D194" s="3">
        <v>116.4</v>
      </c>
      <c r="E194" t="s">
        <v>12</v>
      </c>
      <c r="F194" t="s">
        <v>77</v>
      </c>
      <c r="G194" t="s">
        <v>106</v>
      </c>
      <c r="I194" t="s">
        <v>15</v>
      </c>
      <c r="J194" t="s">
        <v>12</v>
      </c>
      <c r="K194" t="s">
        <v>12</v>
      </c>
      <c r="L194" t="s">
        <v>679</v>
      </c>
      <c r="M194" t="s">
        <v>849</v>
      </c>
      <c r="O194">
        <v>168.8</v>
      </c>
      <c r="P194">
        <v>114.1</v>
      </c>
      <c r="DH194">
        <v>1</v>
      </c>
    </row>
    <row r="195" spans="1:168" x14ac:dyDescent="0.25">
      <c r="A195" t="s">
        <v>63</v>
      </c>
      <c r="B195" t="s">
        <v>54</v>
      </c>
      <c r="C195" s="3">
        <v>39.9</v>
      </c>
      <c r="D195" s="3">
        <v>116.4</v>
      </c>
      <c r="E195" t="s">
        <v>12</v>
      </c>
      <c r="F195" t="s">
        <v>19</v>
      </c>
      <c r="G195" t="s">
        <v>106</v>
      </c>
      <c r="H195">
        <v>40</v>
      </c>
      <c r="I195" t="s">
        <v>12</v>
      </c>
      <c r="J195" t="s">
        <v>15</v>
      </c>
      <c r="K195" t="s">
        <v>12</v>
      </c>
      <c r="L195" t="s">
        <v>665</v>
      </c>
      <c r="M195" t="s">
        <v>854</v>
      </c>
      <c r="O195">
        <v>78.400000000000006</v>
      </c>
      <c r="FK195">
        <v>0.5</v>
      </c>
      <c r="FL195">
        <v>1</v>
      </c>
    </row>
    <row r="196" spans="1:168" x14ac:dyDescent="0.25">
      <c r="A196" t="s">
        <v>63</v>
      </c>
      <c r="B196" t="s">
        <v>54</v>
      </c>
      <c r="C196" s="3">
        <v>39.9</v>
      </c>
      <c r="D196" s="3">
        <v>116.4</v>
      </c>
      <c r="E196" t="s">
        <v>12</v>
      </c>
      <c r="F196" t="s">
        <v>77</v>
      </c>
      <c r="G196" t="s">
        <v>106</v>
      </c>
      <c r="H196">
        <v>40</v>
      </c>
      <c r="I196" t="s">
        <v>12</v>
      </c>
      <c r="J196" t="s">
        <v>15</v>
      </c>
      <c r="K196" t="s">
        <v>12</v>
      </c>
      <c r="L196" t="s">
        <v>665</v>
      </c>
      <c r="M196" t="s">
        <v>854</v>
      </c>
      <c r="O196">
        <v>77.099999999999994</v>
      </c>
      <c r="FG196">
        <v>0.5</v>
      </c>
      <c r="FH196">
        <v>1</v>
      </c>
    </row>
    <row r="197" spans="1:168" x14ac:dyDescent="0.25">
      <c r="A197" t="s">
        <v>63</v>
      </c>
      <c r="B197" t="s">
        <v>54</v>
      </c>
      <c r="C197" s="3">
        <v>39.9</v>
      </c>
      <c r="D197" s="3">
        <v>116.4</v>
      </c>
      <c r="E197" t="s">
        <v>12</v>
      </c>
      <c r="F197" t="s">
        <v>77</v>
      </c>
      <c r="G197" t="s">
        <v>97</v>
      </c>
      <c r="I197" t="s">
        <v>15</v>
      </c>
      <c r="J197" t="s">
        <v>15</v>
      </c>
      <c r="K197" t="s">
        <v>15</v>
      </c>
      <c r="L197" t="s">
        <v>648</v>
      </c>
      <c r="M197" t="s">
        <v>866</v>
      </c>
      <c r="O197">
        <v>79.8</v>
      </c>
      <c r="CS197">
        <v>1</v>
      </c>
      <c r="CT197">
        <v>1</v>
      </c>
      <c r="CU197">
        <v>1</v>
      </c>
    </row>
    <row r="198" spans="1:168" x14ac:dyDescent="0.25">
      <c r="A198" t="s">
        <v>63</v>
      </c>
      <c r="B198" t="s">
        <v>54</v>
      </c>
      <c r="C198" s="3">
        <v>39.9</v>
      </c>
      <c r="D198" s="3">
        <v>116.4</v>
      </c>
      <c r="E198" t="s">
        <v>12</v>
      </c>
      <c r="F198" t="s">
        <v>77</v>
      </c>
      <c r="G198" t="s">
        <v>97</v>
      </c>
      <c r="I198" t="s">
        <v>15</v>
      </c>
      <c r="J198" t="s">
        <v>15</v>
      </c>
      <c r="K198" t="s">
        <v>15</v>
      </c>
      <c r="L198" t="s">
        <v>648</v>
      </c>
      <c r="M198" t="s">
        <v>866</v>
      </c>
      <c r="O198">
        <v>122.09</v>
      </c>
      <c r="CV198">
        <v>1</v>
      </c>
      <c r="CW198">
        <v>1</v>
      </c>
      <c r="CX198">
        <v>1</v>
      </c>
    </row>
    <row r="199" spans="1:168" x14ac:dyDescent="0.25">
      <c r="A199" t="s">
        <v>63</v>
      </c>
      <c r="B199" t="s">
        <v>54</v>
      </c>
      <c r="C199" s="3">
        <v>39.9</v>
      </c>
      <c r="D199" s="3">
        <v>116.4</v>
      </c>
      <c r="E199" t="s">
        <v>12</v>
      </c>
      <c r="F199" t="s">
        <v>77</v>
      </c>
      <c r="G199" t="s">
        <v>97</v>
      </c>
      <c r="I199" t="s">
        <v>15</v>
      </c>
      <c r="J199" t="s">
        <v>15</v>
      </c>
      <c r="K199" t="s">
        <v>15</v>
      </c>
      <c r="L199" t="s">
        <v>648</v>
      </c>
      <c r="M199" t="s">
        <v>866</v>
      </c>
      <c r="O199">
        <v>76.41</v>
      </c>
      <c r="CY199">
        <v>1</v>
      </c>
      <c r="CZ199">
        <v>1</v>
      </c>
      <c r="DA199">
        <v>1</v>
      </c>
    </row>
    <row r="200" spans="1:168" x14ac:dyDescent="0.25">
      <c r="A200" t="s">
        <v>63</v>
      </c>
      <c r="B200" t="s">
        <v>54</v>
      </c>
      <c r="C200" s="3">
        <v>39.9</v>
      </c>
      <c r="D200" s="3">
        <v>116.4</v>
      </c>
      <c r="E200" t="s">
        <v>12</v>
      </c>
      <c r="F200" t="s">
        <v>77</v>
      </c>
      <c r="G200" t="s">
        <v>97</v>
      </c>
      <c r="I200" t="s">
        <v>15</v>
      </c>
      <c r="J200" t="s">
        <v>15</v>
      </c>
      <c r="K200" t="s">
        <v>15</v>
      </c>
      <c r="L200" t="s">
        <v>648</v>
      </c>
      <c r="M200" t="s">
        <v>866</v>
      </c>
      <c r="O200">
        <v>88.99</v>
      </c>
      <c r="DB200">
        <v>1</v>
      </c>
      <c r="DC200">
        <v>1</v>
      </c>
      <c r="DD200">
        <v>1</v>
      </c>
    </row>
    <row r="201" spans="1:168" x14ac:dyDescent="0.25">
      <c r="A201" t="s">
        <v>63</v>
      </c>
      <c r="B201" t="s">
        <v>54</v>
      </c>
      <c r="C201" s="3">
        <v>40</v>
      </c>
      <c r="D201" s="3">
        <v>116.33</v>
      </c>
      <c r="E201" t="s">
        <v>12</v>
      </c>
      <c r="F201" t="s">
        <v>77</v>
      </c>
      <c r="G201" t="s">
        <v>97</v>
      </c>
      <c r="I201" t="s">
        <v>15</v>
      </c>
      <c r="J201" t="s">
        <v>15</v>
      </c>
      <c r="K201" t="s">
        <v>15</v>
      </c>
      <c r="L201" t="s">
        <v>648</v>
      </c>
      <c r="M201" t="s">
        <v>866</v>
      </c>
      <c r="O201">
        <v>106.94</v>
      </c>
      <c r="CS201">
        <v>1</v>
      </c>
      <c r="CT201">
        <v>1</v>
      </c>
      <c r="CU201">
        <v>1</v>
      </c>
      <c r="CV201">
        <v>1</v>
      </c>
      <c r="CW201">
        <v>1</v>
      </c>
      <c r="CX201">
        <v>1</v>
      </c>
      <c r="CY201">
        <v>1</v>
      </c>
      <c r="CZ201">
        <v>1</v>
      </c>
      <c r="DA201">
        <v>1</v>
      </c>
      <c r="DB201">
        <v>1</v>
      </c>
      <c r="DC201">
        <v>1</v>
      </c>
      <c r="DD201">
        <v>1</v>
      </c>
    </row>
    <row r="202" spans="1:168" x14ac:dyDescent="0.25">
      <c r="A202" t="s">
        <v>63</v>
      </c>
      <c r="B202" t="s">
        <v>54</v>
      </c>
      <c r="C202" s="3">
        <v>39.9</v>
      </c>
      <c r="D202" s="3">
        <v>116.4</v>
      </c>
      <c r="E202" t="s">
        <v>12</v>
      </c>
      <c r="F202" t="s">
        <v>8</v>
      </c>
      <c r="G202" t="s">
        <v>106</v>
      </c>
      <c r="H202">
        <v>40</v>
      </c>
      <c r="I202" t="s">
        <v>12</v>
      </c>
      <c r="J202" t="s">
        <v>12</v>
      </c>
      <c r="K202" t="s">
        <v>15</v>
      </c>
      <c r="L202" t="s">
        <v>588</v>
      </c>
      <c r="M202" t="s">
        <v>889</v>
      </c>
      <c r="O202">
        <v>212.6</v>
      </c>
      <c r="P202">
        <v>285.60000000000002</v>
      </c>
      <c r="CY202">
        <v>0.5</v>
      </c>
    </row>
    <row r="203" spans="1:168" x14ac:dyDescent="0.25">
      <c r="A203" t="s">
        <v>63</v>
      </c>
      <c r="B203" t="s">
        <v>54</v>
      </c>
      <c r="C203" s="3">
        <v>39.9</v>
      </c>
      <c r="D203" s="3">
        <v>116.4</v>
      </c>
      <c r="E203" t="s">
        <v>12</v>
      </c>
      <c r="F203" t="s">
        <v>8</v>
      </c>
      <c r="G203" t="s">
        <v>106</v>
      </c>
      <c r="H203">
        <v>40</v>
      </c>
      <c r="I203" t="s">
        <v>12</v>
      </c>
      <c r="J203" t="s">
        <v>12</v>
      </c>
      <c r="K203" t="s">
        <v>15</v>
      </c>
      <c r="L203" t="s">
        <v>588</v>
      </c>
      <c r="M203" t="s">
        <v>889</v>
      </c>
      <c r="O203">
        <v>79.599999999999994</v>
      </c>
      <c r="P203">
        <v>49.6</v>
      </c>
      <c r="DB203">
        <v>0.5</v>
      </c>
      <c r="DC203">
        <v>1</v>
      </c>
    </row>
    <row r="204" spans="1:168" x14ac:dyDescent="0.25">
      <c r="A204" t="s">
        <v>63</v>
      </c>
      <c r="B204" t="s">
        <v>54</v>
      </c>
      <c r="C204" s="3">
        <v>39.9</v>
      </c>
      <c r="D204" s="3">
        <v>116.4</v>
      </c>
      <c r="E204" t="s">
        <v>12</v>
      </c>
      <c r="F204" t="s">
        <v>8</v>
      </c>
      <c r="G204" t="s">
        <v>106</v>
      </c>
      <c r="H204">
        <v>40</v>
      </c>
      <c r="I204" t="s">
        <v>12</v>
      </c>
      <c r="J204" t="s">
        <v>12</v>
      </c>
      <c r="K204" t="s">
        <v>15</v>
      </c>
      <c r="L204" t="s">
        <v>588</v>
      </c>
      <c r="M204" t="s">
        <v>889</v>
      </c>
      <c r="O204">
        <v>150.80000000000001</v>
      </c>
      <c r="P204">
        <v>97.9</v>
      </c>
      <c r="DH204">
        <v>1</v>
      </c>
    </row>
    <row r="205" spans="1:168" x14ac:dyDescent="0.25">
      <c r="A205" t="s">
        <v>63</v>
      </c>
      <c r="B205" t="s">
        <v>54</v>
      </c>
      <c r="C205" s="3">
        <v>39.9</v>
      </c>
      <c r="D205" s="3">
        <v>116.4</v>
      </c>
      <c r="E205" t="s">
        <v>12</v>
      </c>
      <c r="F205" t="s">
        <v>8</v>
      </c>
      <c r="G205" t="s">
        <v>106</v>
      </c>
      <c r="H205">
        <v>40</v>
      </c>
      <c r="I205" t="s">
        <v>12</v>
      </c>
      <c r="J205" t="s">
        <v>12</v>
      </c>
      <c r="K205" t="s">
        <v>15</v>
      </c>
      <c r="L205" t="s">
        <v>588</v>
      </c>
      <c r="M205" t="s">
        <v>889</v>
      </c>
      <c r="O205">
        <v>111.6</v>
      </c>
      <c r="P205">
        <v>92.4</v>
      </c>
      <c r="DK205">
        <v>0.5</v>
      </c>
    </row>
    <row r="206" spans="1:168" x14ac:dyDescent="0.25">
      <c r="A206" t="s">
        <v>63</v>
      </c>
      <c r="B206" t="s">
        <v>54</v>
      </c>
      <c r="C206" s="3">
        <v>39.9</v>
      </c>
      <c r="D206" s="3">
        <v>116.4</v>
      </c>
      <c r="E206" t="s">
        <v>12</v>
      </c>
      <c r="F206" t="s">
        <v>8</v>
      </c>
      <c r="G206" t="s">
        <v>106</v>
      </c>
      <c r="H206">
        <v>40</v>
      </c>
      <c r="I206" t="s">
        <v>12</v>
      </c>
      <c r="J206" t="s">
        <v>12</v>
      </c>
      <c r="K206" t="s">
        <v>15</v>
      </c>
      <c r="L206" t="s">
        <v>588</v>
      </c>
      <c r="M206" t="s">
        <v>889</v>
      </c>
      <c r="O206">
        <v>107.3</v>
      </c>
      <c r="P206">
        <v>45.6</v>
      </c>
      <c r="DQ206">
        <v>1</v>
      </c>
      <c r="DR206">
        <v>0.25</v>
      </c>
    </row>
    <row r="207" spans="1:168" x14ac:dyDescent="0.25">
      <c r="A207" t="s">
        <v>63</v>
      </c>
      <c r="B207" t="s">
        <v>54</v>
      </c>
      <c r="C207" s="3">
        <f>40+29/60</f>
        <v>40.483333333333334</v>
      </c>
      <c r="D207" s="3">
        <f>116+47/60</f>
        <v>116.78333333333333</v>
      </c>
      <c r="E207" t="s">
        <v>15</v>
      </c>
      <c r="F207" t="s">
        <v>20</v>
      </c>
      <c r="G207" t="s">
        <v>97</v>
      </c>
      <c r="H207">
        <v>40</v>
      </c>
      <c r="I207" t="s">
        <v>12</v>
      </c>
      <c r="J207" t="s">
        <v>15</v>
      </c>
      <c r="K207" t="s">
        <v>15</v>
      </c>
      <c r="L207" t="s">
        <v>582</v>
      </c>
      <c r="M207" t="s">
        <v>891</v>
      </c>
      <c r="O207">
        <v>68.400000000000006</v>
      </c>
      <c r="P207">
        <v>24.7</v>
      </c>
      <c r="EG207">
        <v>0.25</v>
      </c>
      <c r="EH207">
        <v>1</v>
      </c>
      <c r="EI207">
        <v>1</v>
      </c>
      <c r="EJ207">
        <v>1</v>
      </c>
      <c r="EK207">
        <v>1</v>
      </c>
      <c r="EL207">
        <v>1</v>
      </c>
      <c r="EM207">
        <v>1</v>
      </c>
      <c r="EN207">
        <v>1</v>
      </c>
      <c r="EO207">
        <v>1</v>
      </c>
      <c r="EP207">
        <v>1</v>
      </c>
      <c r="EQ207">
        <v>1</v>
      </c>
      <c r="ER207">
        <v>1</v>
      </c>
      <c r="ES207">
        <v>1</v>
      </c>
      <c r="ET207">
        <v>1</v>
      </c>
      <c r="EU207">
        <v>1</v>
      </c>
      <c r="EV207">
        <v>1</v>
      </c>
      <c r="EW207">
        <v>0.25</v>
      </c>
    </row>
    <row r="208" spans="1:168" x14ac:dyDescent="0.25">
      <c r="A208" t="s">
        <v>63</v>
      </c>
      <c r="B208" t="s">
        <v>54</v>
      </c>
      <c r="C208" s="3">
        <f>40+19/60</f>
        <v>40.31666666666667</v>
      </c>
      <c r="D208" s="3">
        <f>116+19/60</f>
        <v>116.31666666666666</v>
      </c>
      <c r="E208" t="s">
        <v>15</v>
      </c>
      <c r="F208" t="s">
        <v>77</v>
      </c>
      <c r="G208" t="s">
        <v>97</v>
      </c>
      <c r="H208">
        <v>40</v>
      </c>
      <c r="I208" t="s">
        <v>12</v>
      </c>
      <c r="J208" t="s">
        <v>15</v>
      </c>
      <c r="K208" t="s">
        <v>15</v>
      </c>
      <c r="L208" t="s">
        <v>582</v>
      </c>
      <c r="M208" t="s">
        <v>891</v>
      </c>
      <c r="O208">
        <v>118.5</v>
      </c>
      <c r="P208">
        <v>40.6</v>
      </c>
      <c r="EG208">
        <v>0.25</v>
      </c>
      <c r="EH208">
        <v>1</v>
      </c>
      <c r="EI208">
        <v>1</v>
      </c>
      <c r="EJ208">
        <v>1</v>
      </c>
      <c r="EK208">
        <v>1</v>
      </c>
      <c r="EL208">
        <v>1</v>
      </c>
      <c r="EM208">
        <v>1</v>
      </c>
      <c r="EN208">
        <v>1</v>
      </c>
      <c r="EO208">
        <v>1</v>
      </c>
      <c r="EP208">
        <v>1</v>
      </c>
      <c r="EQ208">
        <v>1</v>
      </c>
      <c r="ER208">
        <v>1</v>
      </c>
      <c r="ES208">
        <v>1</v>
      </c>
      <c r="ET208">
        <v>1</v>
      </c>
      <c r="EU208">
        <v>1</v>
      </c>
      <c r="EV208">
        <v>1</v>
      </c>
      <c r="EW208">
        <v>0.25</v>
      </c>
    </row>
    <row r="209" spans="1:198" x14ac:dyDescent="0.25">
      <c r="A209" t="s">
        <v>63</v>
      </c>
      <c r="B209" t="s">
        <v>54</v>
      </c>
      <c r="C209" s="3">
        <v>40</v>
      </c>
      <c r="D209" s="3">
        <v>116.33</v>
      </c>
      <c r="E209" t="s">
        <v>34</v>
      </c>
      <c r="F209" t="s">
        <v>21</v>
      </c>
      <c r="G209" t="s">
        <v>106</v>
      </c>
      <c r="I209" t="s">
        <v>15</v>
      </c>
      <c r="J209" t="s">
        <v>15</v>
      </c>
      <c r="K209" t="s">
        <v>15</v>
      </c>
      <c r="L209" t="s">
        <v>581</v>
      </c>
      <c r="M209" t="s">
        <v>892</v>
      </c>
      <c r="O209">
        <v>115</v>
      </c>
      <c r="BU209">
        <v>1</v>
      </c>
      <c r="BV209">
        <v>1</v>
      </c>
      <c r="BW209">
        <v>1</v>
      </c>
      <c r="BX209">
        <v>1</v>
      </c>
      <c r="BY209">
        <v>1</v>
      </c>
      <c r="BZ209">
        <v>1</v>
      </c>
      <c r="CA209">
        <v>1</v>
      </c>
      <c r="CB209">
        <v>1</v>
      </c>
      <c r="CC209">
        <v>1</v>
      </c>
      <c r="CD209">
        <v>1</v>
      </c>
      <c r="CE209">
        <v>1</v>
      </c>
      <c r="CF209">
        <v>1</v>
      </c>
    </row>
    <row r="210" spans="1:198" x14ac:dyDescent="0.25">
      <c r="A210" t="s">
        <v>63</v>
      </c>
      <c r="B210" t="s">
        <v>54</v>
      </c>
      <c r="C210" s="3">
        <v>39.93</v>
      </c>
      <c r="D210" s="3">
        <v>116.35</v>
      </c>
      <c r="E210" t="s">
        <v>34</v>
      </c>
      <c r="F210" t="s">
        <v>77</v>
      </c>
      <c r="G210" t="s">
        <v>106</v>
      </c>
      <c r="I210" t="s">
        <v>15</v>
      </c>
      <c r="J210" t="s">
        <v>15</v>
      </c>
      <c r="K210" t="s">
        <v>15</v>
      </c>
      <c r="L210" t="s">
        <v>581</v>
      </c>
      <c r="M210" t="s">
        <v>892</v>
      </c>
      <c r="O210">
        <v>112</v>
      </c>
      <c r="BU210">
        <v>1</v>
      </c>
      <c r="BV210">
        <v>1</v>
      </c>
      <c r="BW210">
        <v>1</v>
      </c>
    </row>
    <row r="211" spans="1:198" x14ac:dyDescent="0.25">
      <c r="A211" t="s">
        <v>63</v>
      </c>
      <c r="B211" t="s">
        <v>54</v>
      </c>
      <c r="C211" s="3">
        <v>39.93</v>
      </c>
      <c r="D211" s="3">
        <v>116.35</v>
      </c>
      <c r="E211" t="s">
        <v>34</v>
      </c>
      <c r="F211" t="s">
        <v>77</v>
      </c>
      <c r="G211" t="s">
        <v>106</v>
      </c>
      <c r="I211" t="s">
        <v>15</v>
      </c>
      <c r="J211" t="s">
        <v>15</v>
      </c>
      <c r="K211" t="s">
        <v>15</v>
      </c>
      <c r="L211" t="s">
        <v>581</v>
      </c>
      <c r="M211" t="s">
        <v>892</v>
      </c>
      <c r="O211">
        <v>89</v>
      </c>
      <c r="BX211">
        <v>1</v>
      </c>
      <c r="BY211">
        <v>1</v>
      </c>
      <c r="BZ211">
        <v>1</v>
      </c>
    </row>
    <row r="212" spans="1:198" x14ac:dyDescent="0.25">
      <c r="A212" t="s">
        <v>63</v>
      </c>
      <c r="B212" t="s">
        <v>54</v>
      </c>
      <c r="C212" s="3">
        <v>39.93</v>
      </c>
      <c r="D212" s="3">
        <v>116.35</v>
      </c>
      <c r="E212" t="s">
        <v>34</v>
      </c>
      <c r="F212" t="s">
        <v>77</v>
      </c>
      <c r="G212" t="s">
        <v>106</v>
      </c>
      <c r="I212" t="s">
        <v>15</v>
      </c>
      <c r="J212" t="s">
        <v>15</v>
      </c>
      <c r="K212" t="s">
        <v>15</v>
      </c>
      <c r="L212" t="s">
        <v>581</v>
      </c>
      <c r="M212" t="s">
        <v>892</v>
      </c>
      <c r="O212">
        <v>176</v>
      </c>
      <c r="CA212">
        <v>1</v>
      </c>
      <c r="CB212">
        <v>1</v>
      </c>
      <c r="CC212">
        <v>1</v>
      </c>
    </row>
    <row r="213" spans="1:198" x14ac:dyDescent="0.25">
      <c r="A213" t="s">
        <v>63</v>
      </c>
      <c r="B213" t="s">
        <v>54</v>
      </c>
      <c r="C213" s="3">
        <v>39.93</v>
      </c>
      <c r="D213" s="3">
        <v>116.35</v>
      </c>
      <c r="E213" t="s">
        <v>34</v>
      </c>
      <c r="F213" t="s">
        <v>77</v>
      </c>
      <c r="G213" t="s">
        <v>106</v>
      </c>
      <c r="I213" t="s">
        <v>15</v>
      </c>
      <c r="J213" t="s">
        <v>15</v>
      </c>
      <c r="K213" t="s">
        <v>15</v>
      </c>
      <c r="L213" t="s">
        <v>581</v>
      </c>
      <c r="M213" t="s">
        <v>892</v>
      </c>
      <c r="O213">
        <v>76</v>
      </c>
      <c r="CD213">
        <v>1</v>
      </c>
      <c r="CE213">
        <v>1</v>
      </c>
      <c r="CF213">
        <v>1</v>
      </c>
    </row>
    <row r="214" spans="1:198" x14ac:dyDescent="0.25">
      <c r="A214" t="s">
        <v>63</v>
      </c>
      <c r="B214" t="s">
        <v>54</v>
      </c>
      <c r="C214" s="3">
        <v>39.56</v>
      </c>
      <c r="D214" s="3">
        <v>116.17</v>
      </c>
      <c r="E214" t="s">
        <v>15</v>
      </c>
      <c r="F214" t="s">
        <v>77</v>
      </c>
      <c r="G214" t="s">
        <v>106</v>
      </c>
      <c r="I214" t="s">
        <v>12</v>
      </c>
      <c r="J214" t="s">
        <v>12</v>
      </c>
      <c r="K214" t="s">
        <v>12</v>
      </c>
      <c r="L214" t="s">
        <v>578</v>
      </c>
      <c r="M214" t="s">
        <v>894</v>
      </c>
      <c r="O214">
        <v>144.9</v>
      </c>
      <c r="P214">
        <v>92.6</v>
      </c>
      <c r="DC214">
        <v>0.5</v>
      </c>
    </row>
    <row r="215" spans="1:198" x14ac:dyDescent="0.25">
      <c r="A215" t="s">
        <v>63</v>
      </c>
      <c r="B215" t="s">
        <v>54</v>
      </c>
      <c r="C215" s="3">
        <v>39.74</v>
      </c>
      <c r="D215" s="3">
        <v>116.03</v>
      </c>
      <c r="E215" t="s">
        <v>15</v>
      </c>
      <c r="F215" t="s">
        <v>21</v>
      </c>
      <c r="G215" t="s">
        <v>106</v>
      </c>
      <c r="I215" t="s">
        <v>12</v>
      </c>
      <c r="J215" t="s">
        <v>12</v>
      </c>
      <c r="K215" t="s">
        <v>12</v>
      </c>
      <c r="L215" t="s">
        <v>560</v>
      </c>
      <c r="M215" t="s">
        <v>906</v>
      </c>
      <c r="O215">
        <v>42.14</v>
      </c>
      <c r="P215">
        <v>31.46</v>
      </c>
      <c r="DI215">
        <v>1</v>
      </c>
      <c r="DJ215">
        <v>1</v>
      </c>
      <c r="DK215">
        <v>1</v>
      </c>
      <c r="DL215">
        <v>1</v>
      </c>
      <c r="DM215">
        <v>1</v>
      </c>
      <c r="DN215">
        <v>1</v>
      </c>
      <c r="DO215">
        <v>1</v>
      </c>
      <c r="DP215">
        <v>1</v>
      </c>
      <c r="DQ215">
        <v>1</v>
      </c>
      <c r="DR215">
        <v>1</v>
      </c>
      <c r="DS215">
        <v>1</v>
      </c>
      <c r="DT215">
        <v>1</v>
      </c>
      <c r="DU215">
        <v>1</v>
      </c>
      <c r="DV215">
        <v>1</v>
      </c>
      <c r="DW215">
        <v>1</v>
      </c>
      <c r="DX215">
        <v>1</v>
      </c>
      <c r="DY215">
        <v>1</v>
      </c>
      <c r="DZ215">
        <v>1</v>
      </c>
      <c r="EA215">
        <v>1</v>
      </c>
      <c r="EB215">
        <v>1</v>
      </c>
      <c r="EC215">
        <v>1</v>
      </c>
      <c r="ED215">
        <v>1</v>
      </c>
      <c r="EE215">
        <v>1</v>
      </c>
      <c r="EF215">
        <v>1</v>
      </c>
    </row>
    <row r="216" spans="1:198" x14ac:dyDescent="0.25">
      <c r="A216" t="s">
        <v>63</v>
      </c>
      <c r="B216" t="s">
        <v>54</v>
      </c>
      <c r="C216" s="3">
        <v>39.92</v>
      </c>
      <c r="D216" s="3">
        <v>116.33</v>
      </c>
      <c r="E216" t="s">
        <v>15</v>
      </c>
      <c r="F216" t="s">
        <v>77</v>
      </c>
      <c r="G216" t="s">
        <v>106</v>
      </c>
      <c r="I216" t="s">
        <v>12</v>
      </c>
      <c r="J216" t="s">
        <v>12</v>
      </c>
      <c r="K216" t="s">
        <v>12</v>
      </c>
      <c r="L216" t="s">
        <v>560</v>
      </c>
      <c r="M216" t="s">
        <v>906</v>
      </c>
      <c r="O216">
        <v>28.74</v>
      </c>
      <c r="P216">
        <v>18.61</v>
      </c>
      <c r="CW216">
        <v>1</v>
      </c>
      <c r="CX216">
        <v>1</v>
      </c>
      <c r="CY216">
        <v>1</v>
      </c>
      <c r="CZ216">
        <v>1</v>
      </c>
      <c r="DA216">
        <v>1</v>
      </c>
      <c r="DB216">
        <v>1</v>
      </c>
      <c r="DC216">
        <v>1</v>
      </c>
      <c r="DD216">
        <v>1</v>
      </c>
      <c r="DE216">
        <v>1</v>
      </c>
      <c r="DF216">
        <v>1</v>
      </c>
      <c r="DG216">
        <v>1</v>
      </c>
      <c r="DH216">
        <v>1</v>
      </c>
      <c r="DI216">
        <v>1</v>
      </c>
      <c r="DJ216">
        <v>1</v>
      </c>
      <c r="DK216">
        <v>1</v>
      </c>
      <c r="DL216">
        <v>1</v>
      </c>
      <c r="DM216">
        <v>1</v>
      </c>
      <c r="DN216">
        <v>1</v>
      </c>
      <c r="DO216">
        <v>1</v>
      </c>
      <c r="DP216">
        <v>1</v>
      </c>
      <c r="DQ216">
        <v>1</v>
      </c>
      <c r="DR216">
        <v>1</v>
      </c>
      <c r="DS216">
        <v>1</v>
      </c>
      <c r="DT216">
        <v>1</v>
      </c>
      <c r="DU216">
        <v>1</v>
      </c>
      <c r="DV216">
        <v>1</v>
      </c>
      <c r="DW216">
        <v>1</v>
      </c>
      <c r="DX216">
        <v>1</v>
      </c>
      <c r="DY216">
        <v>1</v>
      </c>
      <c r="DZ216">
        <v>1</v>
      </c>
      <c r="EA216">
        <v>1</v>
      </c>
      <c r="EB216">
        <v>1</v>
      </c>
      <c r="EC216">
        <v>1</v>
      </c>
      <c r="ED216">
        <v>1</v>
      </c>
      <c r="EE216">
        <v>1</v>
      </c>
      <c r="EF216">
        <v>1</v>
      </c>
    </row>
    <row r="217" spans="1:198" x14ac:dyDescent="0.25">
      <c r="A217" t="s">
        <v>63</v>
      </c>
      <c r="B217" t="s">
        <v>54</v>
      </c>
      <c r="C217" s="3">
        <v>39.9</v>
      </c>
      <c r="D217" s="3">
        <v>116.39</v>
      </c>
      <c r="E217" t="s">
        <v>12</v>
      </c>
      <c r="F217" t="s">
        <v>77</v>
      </c>
      <c r="G217" t="s">
        <v>76</v>
      </c>
      <c r="H217">
        <v>40</v>
      </c>
      <c r="I217" t="s">
        <v>15</v>
      </c>
      <c r="J217" t="s">
        <v>15</v>
      </c>
      <c r="K217" t="s">
        <v>15</v>
      </c>
      <c r="L217" t="s">
        <v>390</v>
      </c>
      <c r="M217" t="s">
        <v>1002</v>
      </c>
      <c r="O217">
        <v>104</v>
      </c>
      <c r="CO217">
        <v>1</v>
      </c>
      <c r="CP217">
        <v>1</v>
      </c>
      <c r="CQ217">
        <v>1</v>
      </c>
      <c r="CR217">
        <v>1</v>
      </c>
      <c r="CS217">
        <v>1</v>
      </c>
      <c r="CT217">
        <v>1</v>
      </c>
      <c r="DA217">
        <v>1</v>
      </c>
      <c r="DB217">
        <v>1</v>
      </c>
      <c r="DC217">
        <v>1</v>
      </c>
      <c r="DD217">
        <v>1</v>
      </c>
      <c r="DE217">
        <v>1</v>
      </c>
      <c r="DF217">
        <v>1</v>
      </c>
      <c r="DM217">
        <v>1</v>
      </c>
      <c r="DN217">
        <v>1</v>
      </c>
      <c r="DO217">
        <v>1</v>
      </c>
      <c r="DP217">
        <v>1</v>
      </c>
      <c r="DQ217">
        <v>1</v>
      </c>
      <c r="DR217">
        <v>1</v>
      </c>
      <c r="DY217">
        <v>1</v>
      </c>
      <c r="DZ217">
        <v>1</v>
      </c>
      <c r="EA217">
        <v>1</v>
      </c>
      <c r="EB217">
        <v>1</v>
      </c>
      <c r="EC217">
        <v>1</v>
      </c>
      <c r="ED217">
        <v>1</v>
      </c>
    </row>
    <row r="218" spans="1:198" x14ac:dyDescent="0.25">
      <c r="A218" t="s">
        <v>63</v>
      </c>
      <c r="B218" t="s">
        <v>54</v>
      </c>
      <c r="C218" s="3">
        <v>39.9</v>
      </c>
      <c r="D218" s="3">
        <v>116.39</v>
      </c>
      <c r="E218" t="s">
        <v>12</v>
      </c>
      <c r="F218" t="s">
        <v>77</v>
      </c>
      <c r="G218" t="s">
        <v>76</v>
      </c>
      <c r="H218">
        <v>40</v>
      </c>
      <c r="I218" t="s">
        <v>15</v>
      </c>
      <c r="J218" t="s">
        <v>15</v>
      </c>
      <c r="K218" t="s">
        <v>15</v>
      </c>
      <c r="L218" t="s">
        <v>390</v>
      </c>
      <c r="M218" t="s">
        <v>1002</v>
      </c>
      <c r="O218">
        <v>168</v>
      </c>
      <c r="CK218">
        <v>1</v>
      </c>
      <c r="CL218">
        <v>1</v>
      </c>
      <c r="CM218">
        <v>1</v>
      </c>
      <c r="CN218">
        <v>1</v>
      </c>
      <c r="CU218">
        <v>1</v>
      </c>
      <c r="CV218">
        <v>1</v>
      </c>
      <c r="CW218">
        <v>1</v>
      </c>
      <c r="CX218">
        <v>1</v>
      </c>
      <c r="CY218">
        <v>1</v>
      </c>
      <c r="CZ218">
        <v>1</v>
      </c>
      <c r="DG218">
        <v>1</v>
      </c>
      <c r="DH218">
        <v>1</v>
      </c>
      <c r="DI218">
        <v>1</v>
      </c>
      <c r="DJ218">
        <v>1</v>
      </c>
      <c r="DK218">
        <v>1</v>
      </c>
      <c r="DL218">
        <v>1</v>
      </c>
      <c r="DS218">
        <v>1</v>
      </c>
      <c r="DT218">
        <v>1</v>
      </c>
      <c r="DU218">
        <v>1</v>
      </c>
      <c r="DV218">
        <v>1</v>
      </c>
      <c r="DW218">
        <v>1</v>
      </c>
      <c r="DX218">
        <v>1</v>
      </c>
      <c r="EE218">
        <v>1</v>
      </c>
      <c r="EF218">
        <v>1</v>
      </c>
    </row>
    <row r="219" spans="1:198" x14ac:dyDescent="0.25">
      <c r="A219" t="s">
        <v>63</v>
      </c>
      <c r="B219" t="s">
        <v>54</v>
      </c>
      <c r="C219" s="3">
        <v>39.9</v>
      </c>
      <c r="D219" s="3">
        <v>116.4</v>
      </c>
      <c r="E219" t="s">
        <v>12</v>
      </c>
      <c r="F219" t="s">
        <v>20</v>
      </c>
      <c r="G219" t="s">
        <v>97</v>
      </c>
      <c r="H219">
        <v>45</v>
      </c>
      <c r="I219" t="s">
        <v>15</v>
      </c>
      <c r="J219" t="s">
        <v>15</v>
      </c>
      <c r="K219" t="s">
        <v>12</v>
      </c>
      <c r="L219" t="s">
        <v>363</v>
      </c>
      <c r="M219" t="s">
        <v>1018</v>
      </c>
      <c r="O219">
        <v>68</v>
      </c>
      <c r="P219">
        <v>61</v>
      </c>
      <c r="EM219">
        <v>0.25</v>
      </c>
      <c r="EN219">
        <v>0.25</v>
      </c>
    </row>
    <row r="220" spans="1:198" x14ac:dyDescent="0.25">
      <c r="A220" t="s">
        <v>63</v>
      </c>
      <c r="B220" t="s">
        <v>54</v>
      </c>
      <c r="C220" s="3">
        <v>39.9</v>
      </c>
      <c r="D220" s="3">
        <v>116.4</v>
      </c>
      <c r="E220" t="s">
        <v>12</v>
      </c>
      <c r="F220" t="s">
        <v>77</v>
      </c>
      <c r="G220" t="s">
        <v>76</v>
      </c>
      <c r="I220" t="s">
        <v>15</v>
      </c>
      <c r="J220" t="s">
        <v>12</v>
      </c>
      <c r="K220" t="s">
        <v>12</v>
      </c>
      <c r="L220" t="s">
        <v>361</v>
      </c>
      <c r="M220" t="s">
        <v>1021</v>
      </c>
      <c r="O220">
        <v>127.6</v>
      </c>
      <c r="P220">
        <v>75.3</v>
      </c>
      <c r="GF220">
        <v>1</v>
      </c>
    </row>
    <row r="221" spans="1:198" x14ac:dyDescent="0.25">
      <c r="A221" t="s">
        <v>63</v>
      </c>
      <c r="B221" t="s">
        <v>54</v>
      </c>
      <c r="C221" s="3">
        <v>39.9</v>
      </c>
      <c r="D221" s="3">
        <v>116.4</v>
      </c>
      <c r="E221" t="s">
        <v>12</v>
      </c>
      <c r="F221" t="s">
        <v>77</v>
      </c>
      <c r="G221" t="s">
        <v>76</v>
      </c>
      <c r="I221" t="s">
        <v>15</v>
      </c>
      <c r="J221" t="s">
        <v>12</v>
      </c>
      <c r="K221" t="s">
        <v>12</v>
      </c>
      <c r="L221" t="s">
        <v>361</v>
      </c>
      <c r="M221" t="s">
        <v>1021</v>
      </c>
      <c r="O221">
        <v>115.8</v>
      </c>
      <c r="P221">
        <v>35.5</v>
      </c>
      <c r="GI221">
        <v>1</v>
      </c>
    </row>
    <row r="222" spans="1:198" x14ac:dyDescent="0.25">
      <c r="A222" t="s">
        <v>63</v>
      </c>
      <c r="B222" t="s">
        <v>54</v>
      </c>
      <c r="C222" s="3">
        <v>39.9</v>
      </c>
      <c r="D222" s="3">
        <v>116.4</v>
      </c>
      <c r="E222" t="s">
        <v>12</v>
      </c>
      <c r="F222" t="s">
        <v>77</v>
      </c>
      <c r="G222" t="s">
        <v>76</v>
      </c>
      <c r="I222" t="s">
        <v>15</v>
      </c>
      <c r="J222" t="s">
        <v>12</v>
      </c>
      <c r="K222" t="s">
        <v>12</v>
      </c>
      <c r="L222" t="s">
        <v>361</v>
      </c>
      <c r="M222" t="s">
        <v>1021</v>
      </c>
      <c r="O222">
        <v>124.3</v>
      </c>
      <c r="P222">
        <v>66.3</v>
      </c>
      <c r="GL222">
        <v>1</v>
      </c>
    </row>
    <row r="223" spans="1:198" x14ac:dyDescent="0.25">
      <c r="A223" t="s">
        <v>63</v>
      </c>
      <c r="B223" t="s">
        <v>54</v>
      </c>
      <c r="C223" s="3">
        <v>39.9</v>
      </c>
      <c r="D223" s="3">
        <v>116.4</v>
      </c>
      <c r="E223" t="s">
        <v>12</v>
      </c>
      <c r="F223" t="s">
        <v>77</v>
      </c>
      <c r="G223" t="s">
        <v>76</v>
      </c>
      <c r="I223" t="s">
        <v>15</v>
      </c>
      <c r="J223" t="s">
        <v>12</v>
      </c>
      <c r="K223" t="s">
        <v>12</v>
      </c>
      <c r="L223" t="s">
        <v>361</v>
      </c>
      <c r="M223" t="s">
        <v>1021</v>
      </c>
      <c r="O223">
        <v>126.5</v>
      </c>
      <c r="P223">
        <v>100.2</v>
      </c>
      <c r="GO223">
        <v>0.5</v>
      </c>
      <c r="GP223">
        <v>0.5</v>
      </c>
    </row>
    <row r="224" spans="1:198" x14ac:dyDescent="0.25">
      <c r="A224" t="s">
        <v>63</v>
      </c>
      <c r="B224" t="s">
        <v>54</v>
      </c>
      <c r="C224" s="3">
        <v>39.96</v>
      </c>
      <c r="D224" s="3">
        <v>116.29</v>
      </c>
      <c r="E224" t="s">
        <v>34</v>
      </c>
      <c r="F224" t="s">
        <v>21</v>
      </c>
      <c r="G224" t="s">
        <v>76</v>
      </c>
      <c r="H224">
        <v>40</v>
      </c>
      <c r="I224" t="s">
        <v>12</v>
      </c>
      <c r="J224" t="s">
        <v>12</v>
      </c>
      <c r="K224" t="s">
        <v>15</v>
      </c>
      <c r="L224" t="s">
        <v>126</v>
      </c>
      <c r="M224" t="s">
        <v>1045</v>
      </c>
      <c r="O224">
        <v>63</v>
      </c>
      <c r="EH224">
        <v>1</v>
      </c>
      <c r="EI224">
        <v>1</v>
      </c>
      <c r="EJ224">
        <v>1</v>
      </c>
      <c r="EK224">
        <v>1</v>
      </c>
      <c r="EL224">
        <v>1</v>
      </c>
      <c r="EM224">
        <v>1</v>
      </c>
      <c r="EN224">
        <v>1</v>
      </c>
      <c r="EO224">
        <v>1</v>
      </c>
      <c r="EP224">
        <v>1</v>
      </c>
      <c r="EQ224">
        <v>1</v>
      </c>
      <c r="ER224">
        <v>1</v>
      </c>
      <c r="ES224">
        <v>1</v>
      </c>
      <c r="ET224">
        <v>1</v>
      </c>
      <c r="EU224">
        <v>1</v>
      </c>
      <c r="EV224">
        <v>1</v>
      </c>
      <c r="EW224">
        <v>1</v>
      </c>
      <c r="EX224">
        <v>1</v>
      </c>
      <c r="EY224">
        <v>1</v>
      </c>
      <c r="EZ224">
        <v>1</v>
      </c>
      <c r="FA224">
        <v>1</v>
      </c>
      <c r="FB224">
        <v>1</v>
      </c>
      <c r="FC224">
        <v>1</v>
      </c>
      <c r="FD224">
        <v>1</v>
      </c>
      <c r="FE224">
        <v>1</v>
      </c>
      <c r="FF224">
        <v>1</v>
      </c>
      <c r="FG224">
        <v>1</v>
      </c>
      <c r="FH224">
        <v>1</v>
      </c>
      <c r="FI224">
        <v>1</v>
      </c>
      <c r="FJ224">
        <v>1</v>
      </c>
      <c r="FK224">
        <v>1</v>
      </c>
      <c r="FL224">
        <v>1</v>
      </c>
      <c r="FM224">
        <v>1</v>
      </c>
    </row>
    <row r="225" spans="1:172" x14ac:dyDescent="0.25">
      <c r="A225" t="s">
        <v>63</v>
      </c>
      <c r="B225" t="s">
        <v>54</v>
      </c>
      <c r="C225" s="3">
        <v>39.9</v>
      </c>
      <c r="D225" s="3">
        <v>116.4</v>
      </c>
      <c r="E225" t="s">
        <v>12</v>
      </c>
      <c r="F225" t="s">
        <v>8</v>
      </c>
      <c r="G225" t="s">
        <v>106</v>
      </c>
      <c r="I225" t="s">
        <v>15</v>
      </c>
      <c r="J225" t="s">
        <v>15</v>
      </c>
      <c r="K225" t="s">
        <v>12</v>
      </c>
      <c r="L225" t="s">
        <v>257</v>
      </c>
      <c r="M225" t="s">
        <v>1060</v>
      </c>
      <c r="N225" t="s">
        <v>256</v>
      </c>
      <c r="O225">
        <v>106.7</v>
      </c>
      <c r="DU225">
        <v>0.5</v>
      </c>
    </row>
    <row r="226" spans="1:172" x14ac:dyDescent="0.25">
      <c r="A226" t="s">
        <v>63</v>
      </c>
      <c r="B226" t="s">
        <v>54</v>
      </c>
      <c r="C226" s="3">
        <v>39.9</v>
      </c>
      <c r="D226" s="3">
        <v>116.4</v>
      </c>
      <c r="E226" t="s">
        <v>12</v>
      </c>
      <c r="F226" t="s">
        <v>8</v>
      </c>
      <c r="G226" t="s">
        <v>106</v>
      </c>
      <c r="I226" t="s">
        <v>15</v>
      </c>
      <c r="J226" t="s">
        <v>15</v>
      </c>
      <c r="K226" t="s">
        <v>12</v>
      </c>
      <c r="L226" t="s">
        <v>257</v>
      </c>
      <c r="M226" t="s">
        <v>1060</v>
      </c>
      <c r="N226" t="s">
        <v>256</v>
      </c>
      <c r="O226">
        <v>52.3</v>
      </c>
      <c r="EB226">
        <v>0.5</v>
      </c>
    </row>
    <row r="227" spans="1:172" x14ac:dyDescent="0.25">
      <c r="A227" t="s">
        <v>63</v>
      </c>
      <c r="B227" t="s">
        <v>54</v>
      </c>
      <c r="C227" s="3">
        <v>39.950000000000003</v>
      </c>
      <c r="D227" s="3">
        <v>116.36</v>
      </c>
      <c r="E227" t="s">
        <v>34</v>
      </c>
      <c r="F227" t="s">
        <v>34</v>
      </c>
      <c r="G227" t="s">
        <v>76</v>
      </c>
      <c r="H227">
        <v>40</v>
      </c>
      <c r="I227" t="s">
        <v>15</v>
      </c>
      <c r="J227" t="s">
        <v>15</v>
      </c>
      <c r="K227" t="s">
        <v>15</v>
      </c>
      <c r="L227" t="s">
        <v>250</v>
      </c>
      <c r="M227" t="s">
        <v>1065</v>
      </c>
      <c r="O227">
        <v>77.3</v>
      </c>
      <c r="P227">
        <v>55.7</v>
      </c>
      <c r="DB227">
        <v>1</v>
      </c>
      <c r="DC227">
        <v>1</v>
      </c>
      <c r="DD227">
        <v>1</v>
      </c>
    </row>
    <row r="228" spans="1:172" x14ac:dyDescent="0.25">
      <c r="A228" t="s">
        <v>63</v>
      </c>
      <c r="B228" t="s">
        <v>54</v>
      </c>
      <c r="C228" s="3">
        <v>39.950000000000003</v>
      </c>
      <c r="D228" s="3">
        <v>116.36</v>
      </c>
      <c r="E228" t="s">
        <v>34</v>
      </c>
      <c r="F228" t="s">
        <v>34</v>
      </c>
      <c r="G228" t="s">
        <v>76</v>
      </c>
      <c r="H228">
        <v>40</v>
      </c>
      <c r="I228" t="s">
        <v>15</v>
      </c>
      <c r="J228" t="s">
        <v>15</v>
      </c>
      <c r="K228" t="s">
        <v>15</v>
      </c>
      <c r="L228" t="s">
        <v>250</v>
      </c>
      <c r="M228" t="s">
        <v>1065</v>
      </c>
      <c r="O228">
        <v>135.69999999999999</v>
      </c>
      <c r="P228">
        <v>96.6</v>
      </c>
      <c r="DH228">
        <v>1</v>
      </c>
      <c r="DI228">
        <v>1</v>
      </c>
      <c r="DJ228">
        <v>1</v>
      </c>
    </row>
    <row r="229" spans="1:172" x14ac:dyDescent="0.25">
      <c r="A229" t="s">
        <v>63</v>
      </c>
      <c r="B229" t="s">
        <v>54</v>
      </c>
      <c r="C229" s="3">
        <v>39.93</v>
      </c>
      <c r="D229" s="3">
        <v>116.17</v>
      </c>
      <c r="E229" t="s">
        <v>34</v>
      </c>
      <c r="F229" t="s">
        <v>22</v>
      </c>
      <c r="G229" t="s">
        <v>76</v>
      </c>
      <c r="H229">
        <v>40</v>
      </c>
      <c r="I229" t="s">
        <v>15</v>
      </c>
      <c r="J229" t="s">
        <v>15</v>
      </c>
      <c r="K229" t="s">
        <v>15</v>
      </c>
      <c r="L229" t="s">
        <v>250</v>
      </c>
      <c r="M229" t="s">
        <v>1065</v>
      </c>
      <c r="O229">
        <v>82.2</v>
      </c>
      <c r="P229">
        <v>49.5</v>
      </c>
      <c r="DB229">
        <v>1</v>
      </c>
      <c r="DC229">
        <v>1</v>
      </c>
      <c r="DD229">
        <v>1</v>
      </c>
    </row>
    <row r="230" spans="1:172" x14ac:dyDescent="0.25">
      <c r="A230" t="s">
        <v>63</v>
      </c>
      <c r="B230" t="s">
        <v>54</v>
      </c>
      <c r="C230" s="3">
        <v>39.93</v>
      </c>
      <c r="D230" s="3">
        <v>116.17</v>
      </c>
      <c r="E230" t="s">
        <v>34</v>
      </c>
      <c r="F230" t="s">
        <v>22</v>
      </c>
      <c r="G230" t="s">
        <v>76</v>
      </c>
      <c r="H230">
        <v>40</v>
      </c>
      <c r="I230" t="s">
        <v>15</v>
      </c>
      <c r="J230" t="s">
        <v>15</v>
      </c>
      <c r="K230" t="s">
        <v>15</v>
      </c>
      <c r="L230" t="s">
        <v>250</v>
      </c>
      <c r="M230" t="s">
        <v>1065</v>
      </c>
      <c r="O230">
        <v>140.80000000000001</v>
      </c>
      <c r="P230">
        <v>73.900000000000006</v>
      </c>
      <c r="DH230">
        <v>1</v>
      </c>
      <c r="DI230">
        <v>1</v>
      </c>
      <c r="DJ230">
        <v>1</v>
      </c>
    </row>
    <row r="231" spans="1:172" x14ac:dyDescent="0.25">
      <c r="A231" t="s">
        <v>63</v>
      </c>
      <c r="B231" t="s">
        <v>54</v>
      </c>
      <c r="C231" s="3">
        <v>39.840000000000003</v>
      </c>
      <c r="D231" s="3">
        <v>116.29</v>
      </c>
      <c r="E231" t="s">
        <v>34</v>
      </c>
      <c r="F231" t="s">
        <v>21</v>
      </c>
      <c r="G231" t="s">
        <v>76</v>
      </c>
      <c r="H231">
        <v>40</v>
      </c>
      <c r="I231" t="s">
        <v>15</v>
      </c>
      <c r="J231" t="s">
        <v>15</v>
      </c>
      <c r="K231" t="s">
        <v>15</v>
      </c>
      <c r="L231" t="s">
        <v>250</v>
      </c>
      <c r="M231" t="s">
        <v>1065</v>
      </c>
      <c r="O231">
        <v>75.400000000000006</v>
      </c>
      <c r="P231">
        <v>45.6</v>
      </c>
      <c r="DB231">
        <v>1</v>
      </c>
      <c r="DC231">
        <v>1</v>
      </c>
      <c r="DD231">
        <v>1</v>
      </c>
    </row>
    <row r="232" spans="1:172" x14ac:dyDescent="0.25">
      <c r="A232" t="s">
        <v>63</v>
      </c>
      <c r="B232" t="s">
        <v>54</v>
      </c>
      <c r="C232" s="3">
        <v>39.840000000000003</v>
      </c>
      <c r="D232" s="3">
        <v>116.29</v>
      </c>
      <c r="E232" t="s">
        <v>34</v>
      </c>
      <c r="F232" t="s">
        <v>21</v>
      </c>
      <c r="G232" t="s">
        <v>76</v>
      </c>
      <c r="H232">
        <v>40</v>
      </c>
      <c r="I232" t="s">
        <v>15</v>
      </c>
      <c r="J232" t="s">
        <v>15</v>
      </c>
      <c r="K232" t="s">
        <v>15</v>
      </c>
      <c r="L232" t="s">
        <v>250</v>
      </c>
      <c r="M232" t="s">
        <v>1065</v>
      </c>
      <c r="O232">
        <v>182.2</v>
      </c>
      <c r="P232">
        <v>120.8</v>
      </c>
      <c r="DH232">
        <v>1</v>
      </c>
      <c r="DI232">
        <v>1</v>
      </c>
      <c r="DJ232">
        <v>1</v>
      </c>
    </row>
    <row r="233" spans="1:172" x14ac:dyDescent="0.25">
      <c r="A233" t="s">
        <v>63</v>
      </c>
      <c r="B233" t="s">
        <v>54</v>
      </c>
      <c r="C233" s="3">
        <v>39.9</v>
      </c>
      <c r="D233" s="3">
        <v>116.39</v>
      </c>
      <c r="E233" t="s">
        <v>12</v>
      </c>
      <c r="F233" t="s">
        <v>8</v>
      </c>
      <c r="G233" t="s">
        <v>106</v>
      </c>
      <c r="H233">
        <v>40</v>
      </c>
      <c r="I233" t="s">
        <v>12</v>
      </c>
      <c r="J233" t="s">
        <v>15</v>
      </c>
      <c r="K233" t="s">
        <v>15</v>
      </c>
      <c r="L233" t="s">
        <v>165</v>
      </c>
      <c r="M233" t="s">
        <v>1093</v>
      </c>
      <c r="O233">
        <v>162.6</v>
      </c>
      <c r="P233">
        <v>179.94</v>
      </c>
      <c r="CJ233">
        <v>1</v>
      </c>
      <c r="CK233">
        <v>1</v>
      </c>
      <c r="CL233">
        <v>1</v>
      </c>
      <c r="CV233">
        <v>1</v>
      </c>
      <c r="CW233">
        <v>1</v>
      </c>
      <c r="CX233">
        <v>1</v>
      </c>
      <c r="DH233">
        <v>1</v>
      </c>
      <c r="DI233">
        <v>1</v>
      </c>
      <c r="DJ233">
        <v>1</v>
      </c>
    </row>
    <row r="234" spans="1:172" x14ac:dyDescent="0.25">
      <c r="A234" t="s">
        <v>63</v>
      </c>
      <c r="B234" t="s">
        <v>54</v>
      </c>
      <c r="C234" s="3">
        <v>39.9</v>
      </c>
      <c r="D234" s="3">
        <v>116.39</v>
      </c>
      <c r="E234" t="s">
        <v>12</v>
      </c>
      <c r="F234" t="s">
        <v>8</v>
      </c>
      <c r="G234" t="s">
        <v>106</v>
      </c>
      <c r="H234">
        <v>40</v>
      </c>
      <c r="I234" t="s">
        <v>12</v>
      </c>
      <c r="J234" t="s">
        <v>15</v>
      </c>
      <c r="K234" t="s">
        <v>15</v>
      </c>
      <c r="L234" t="s">
        <v>165</v>
      </c>
      <c r="M234" t="s">
        <v>1093</v>
      </c>
      <c r="O234">
        <v>93.29</v>
      </c>
      <c r="P234">
        <v>56.26</v>
      </c>
      <c r="CM234">
        <v>1</v>
      </c>
      <c r="CN234">
        <v>1</v>
      </c>
      <c r="CO234">
        <v>1</v>
      </c>
      <c r="CY234">
        <v>1</v>
      </c>
      <c r="CZ234">
        <v>1</v>
      </c>
      <c r="DA234">
        <v>1</v>
      </c>
      <c r="DK234">
        <v>1</v>
      </c>
      <c r="DL234">
        <v>1</v>
      </c>
      <c r="DM234">
        <v>1</v>
      </c>
    </row>
    <row r="235" spans="1:172" x14ac:dyDescent="0.25">
      <c r="A235" t="s">
        <v>63</v>
      </c>
      <c r="B235" t="s">
        <v>54</v>
      </c>
      <c r="C235" s="3">
        <v>39.9</v>
      </c>
      <c r="D235" s="3">
        <v>116.39</v>
      </c>
      <c r="E235" t="s">
        <v>12</v>
      </c>
      <c r="F235" t="s">
        <v>8</v>
      </c>
      <c r="G235" t="s">
        <v>106</v>
      </c>
      <c r="H235">
        <v>40</v>
      </c>
      <c r="I235" t="s">
        <v>12</v>
      </c>
      <c r="J235" t="s">
        <v>15</v>
      </c>
      <c r="K235" t="s">
        <v>15</v>
      </c>
      <c r="L235" t="s">
        <v>165</v>
      </c>
      <c r="M235" t="s">
        <v>1093</v>
      </c>
      <c r="O235">
        <v>105.22</v>
      </c>
      <c r="P235">
        <v>39</v>
      </c>
      <c r="CP235">
        <v>1</v>
      </c>
      <c r="CQ235">
        <v>1</v>
      </c>
      <c r="CR235">
        <v>1</v>
      </c>
      <c r="DB235">
        <v>1</v>
      </c>
      <c r="DC235">
        <v>1</v>
      </c>
      <c r="DD235">
        <v>1</v>
      </c>
      <c r="DN235">
        <v>1</v>
      </c>
      <c r="DO235">
        <v>1</v>
      </c>
      <c r="DP235">
        <v>1</v>
      </c>
    </row>
    <row r="236" spans="1:172" x14ac:dyDescent="0.25">
      <c r="A236" t="s">
        <v>63</v>
      </c>
      <c r="B236" t="s">
        <v>54</v>
      </c>
      <c r="C236" s="3">
        <v>39.9</v>
      </c>
      <c r="D236" s="3">
        <v>116.39</v>
      </c>
      <c r="E236" t="s">
        <v>12</v>
      </c>
      <c r="F236" t="s">
        <v>8</v>
      </c>
      <c r="G236" t="s">
        <v>106</v>
      </c>
      <c r="H236">
        <v>40</v>
      </c>
      <c r="I236" t="s">
        <v>12</v>
      </c>
      <c r="J236" t="s">
        <v>15</v>
      </c>
      <c r="K236" t="s">
        <v>15</v>
      </c>
      <c r="L236" t="s">
        <v>165</v>
      </c>
      <c r="M236" t="s">
        <v>1093</v>
      </c>
      <c r="O236">
        <v>214.23</v>
      </c>
      <c r="P236">
        <v>159.34</v>
      </c>
      <c r="CS236">
        <v>1</v>
      </c>
      <c r="CT236">
        <v>1</v>
      </c>
      <c r="CU236">
        <v>1</v>
      </c>
      <c r="DE236">
        <v>1</v>
      </c>
      <c r="DF236">
        <v>1</v>
      </c>
      <c r="DG236">
        <v>1</v>
      </c>
      <c r="DQ236">
        <v>1</v>
      </c>
      <c r="DR236">
        <v>1</v>
      </c>
      <c r="DS236">
        <v>1</v>
      </c>
    </row>
    <row r="237" spans="1:172" x14ac:dyDescent="0.25">
      <c r="A237" t="s">
        <v>63</v>
      </c>
      <c r="B237" t="s">
        <v>54</v>
      </c>
      <c r="C237" s="3">
        <v>39.9</v>
      </c>
      <c r="D237" s="3">
        <v>116.38</v>
      </c>
      <c r="E237" t="s">
        <v>12</v>
      </c>
      <c r="F237" t="s">
        <v>8</v>
      </c>
      <c r="G237" t="s">
        <v>106</v>
      </c>
      <c r="H237">
        <v>40</v>
      </c>
      <c r="I237" t="s">
        <v>12</v>
      </c>
      <c r="J237" t="s">
        <v>12</v>
      </c>
      <c r="K237" t="s">
        <v>12</v>
      </c>
      <c r="L237" t="s">
        <v>161</v>
      </c>
      <c r="M237" t="s">
        <v>1096</v>
      </c>
      <c r="O237">
        <v>147.5</v>
      </c>
      <c r="CY237">
        <v>0.5</v>
      </c>
      <c r="CZ237">
        <v>1</v>
      </c>
      <c r="DB237">
        <v>0.5</v>
      </c>
      <c r="DC237">
        <v>0.5</v>
      </c>
      <c r="DE237">
        <v>1</v>
      </c>
      <c r="DH237">
        <v>1</v>
      </c>
    </row>
    <row r="238" spans="1:172" x14ac:dyDescent="0.25">
      <c r="A238" t="s">
        <v>63</v>
      </c>
      <c r="B238" t="s">
        <v>54</v>
      </c>
      <c r="C238" s="3">
        <v>40.006</v>
      </c>
      <c r="D238" s="3">
        <v>116.34399999999999</v>
      </c>
      <c r="E238" t="s">
        <v>34</v>
      </c>
      <c r="F238" t="s">
        <v>21</v>
      </c>
      <c r="G238" t="s">
        <v>76</v>
      </c>
      <c r="H238">
        <v>40</v>
      </c>
      <c r="I238" t="s">
        <v>15</v>
      </c>
      <c r="J238" t="s">
        <v>12</v>
      </c>
      <c r="K238" t="s">
        <v>15</v>
      </c>
      <c r="L238" t="s">
        <v>159</v>
      </c>
      <c r="M238" t="s">
        <v>1097</v>
      </c>
      <c r="N238" t="s">
        <v>158</v>
      </c>
      <c r="O238">
        <v>102</v>
      </c>
      <c r="EG238">
        <v>0.5</v>
      </c>
      <c r="EM238">
        <v>1</v>
      </c>
      <c r="ER238">
        <v>0.5</v>
      </c>
      <c r="ES238">
        <v>0.5</v>
      </c>
      <c r="EY238">
        <v>1</v>
      </c>
      <c r="FD238">
        <v>0.5</v>
      </c>
      <c r="FE238">
        <v>0.5</v>
      </c>
      <c r="FK238">
        <v>1</v>
      </c>
      <c r="FP238">
        <v>0.5</v>
      </c>
    </row>
    <row r="239" spans="1:172" x14ac:dyDescent="0.25">
      <c r="A239" t="s">
        <v>63</v>
      </c>
      <c r="B239" t="s">
        <v>54</v>
      </c>
      <c r="C239" s="3">
        <v>39.950000000000003</v>
      </c>
      <c r="D239" s="3">
        <v>116.395</v>
      </c>
      <c r="E239" t="s">
        <v>12</v>
      </c>
      <c r="F239" t="s">
        <v>77</v>
      </c>
      <c r="G239" t="s">
        <v>76</v>
      </c>
      <c r="H239">
        <v>40</v>
      </c>
      <c r="I239" t="s">
        <v>12</v>
      </c>
      <c r="J239" t="s">
        <v>12</v>
      </c>
      <c r="K239" t="s">
        <v>12</v>
      </c>
      <c r="L239" t="s">
        <v>145</v>
      </c>
      <c r="M239" t="s">
        <v>1108</v>
      </c>
      <c r="O239">
        <v>71.5</v>
      </c>
      <c r="DA239">
        <v>1</v>
      </c>
    </row>
    <row r="240" spans="1:172" x14ac:dyDescent="0.25">
      <c r="A240" t="s">
        <v>63</v>
      </c>
      <c r="B240" t="s">
        <v>54</v>
      </c>
      <c r="C240" s="3">
        <v>39.950000000000003</v>
      </c>
      <c r="D240" s="3">
        <v>116.395</v>
      </c>
      <c r="E240" t="s">
        <v>12</v>
      </c>
      <c r="F240" t="s">
        <v>77</v>
      </c>
      <c r="G240" t="s">
        <v>76</v>
      </c>
      <c r="H240">
        <v>40</v>
      </c>
      <c r="I240" t="s">
        <v>12</v>
      </c>
      <c r="J240" t="s">
        <v>12</v>
      </c>
      <c r="K240" t="s">
        <v>12</v>
      </c>
      <c r="L240" t="s">
        <v>145</v>
      </c>
      <c r="M240" t="s">
        <v>1108</v>
      </c>
      <c r="O240">
        <v>82.8</v>
      </c>
      <c r="DB240">
        <v>1</v>
      </c>
    </row>
    <row r="241" spans="1:152" x14ac:dyDescent="0.25">
      <c r="A241" t="s">
        <v>63</v>
      </c>
      <c r="B241" t="s">
        <v>54</v>
      </c>
      <c r="C241" s="3">
        <v>39.950000000000003</v>
      </c>
      <c r="D241" s="3">
        <v>116.395</v>
      </c>
      <c r="E241" t="s">
        <v>12</v>
      </c>
      <c r="F241" t="s">
        <v>77</v>
      </c>
      <c r="G241" t="s">
        <v>76</v>
      </c>
      <c r="H241">
        <v>40</v>
      </c>
      <c r="I241" t="s">
        <v>12</v>
      </c>
      <c r="J241" t="s">
        <v>12</v>
      </c>
      <c r="K241" t="s">
        <v>12</v>
      </c>
      <c r="L241" t="s">
        <v>145</v>
      </c>
      <c r="M241" t="s">
        <v>1108</v>
      </c>
      <c r="O241">
        <v>32.9</v>
      </c>
      <c r="DC241">
        <v>1</v>
      </c>
    </row>
    <row r="242" spans="1:152" x14ac:dyDescent="0.25">
      <c r="A242" t="s">
        <v>63</v>
      </c>
      <c r="B242" t="s">
        <v>54</v>
      </c>
      <c r="C242" s="3">
        <v>39.950000000000003</v>
      </c>
      <c r="D242" s="3">
        <v>116.395</v>
      </c>
      <c r="E242" t="s">
        <v>12</v>
      </c>
      <c r="F242" t="s">
        <v>77</v>
      </c>
      <c r="G242" t="s">
        <v>76</v>
      </c>
      <c r="H242">
        <v>40</v>
      </c>
      <c r="I242" t="s">
        <v>12</v>
      </c>
      <c r="J242" t="s">
        <v>12</v>
      </c>
      <c r="K242" t="s">
        <v>12</v>
      </c>
      <c r="L242" t="s">
        <v>145</v>
      </c>
      <c r="M242" t="s">
        <v>1108</v>
      </c>
      <c r="O242">
        <v>90.2</v>
      </c>
      <c r="DD242">
        <v>1</v>
      </c>
    </row>
    <row r="243" spans="1:152" x14ac:dyDescent="0.25">
      <c r="A243" t="s">
        <v>63</v>
      </c>
      <c r="B243" t="s">
        <v>54</v>
      </c>
      <c r="C243" s="3">
        <v>39.950000000000003</v>
      </c>
      <c r="D243" s="3">
        <v>116.395</v>
      </c>
      <c r="E243" t="s">
        <v>12</v>
      </c>
      <c r="F243" t="s">
        <v>77</v>
      </c>
      <c r="G243" t="s">
        <v>76</v>
      </c>
      <c r="H243">
        <v>40</v>
      </c>
      <c r="I243" t="s">
        <v>12</v>
      </c>
      <c r="J243" t="s">
        <v>12</v>
      </c>
      <c r="K243" t="s">
        <v>12</v>
      </c>
      <c r="L243" t="s">
        <v>145</v>
      </c>
      <c r="M243" t="s">
        <v>1108</v>
      </c>
      <c r="O243">
        <v>128.80000000000001</v>
      </c>
      <c r="DE243">
        <v>1</v>
      </c>
    </row>
    <row r="244" spans="1:152" x14ac:dyDescent="0.25">
      <c r="A244" t="s">
        <v>63</v>
      </c>
      <c r="B244" t="s">
        <v>54</v>
      </c>
      <c r="C244" s="3">
        <v>39.950000000000003</v>
      </c>
      <c r="D244" s="3">
        <v>116.395</v>
      </c>
      <c r="E244" t="s">
        <v>12</v>
      </c>
      <c r="F244" t="s">
        <v>77</v>
      </c>
      <c r="G244" t="s">
        <v>76</v>
      </c>
      <c r="H244">
        <v>40</v>
      </c>
      <c r="I244" t="s">
        <v>12</v>
      </c>
      <c r="J244" t="s">
        <v>12</v>
      </c>
      <c r="K244" t="s">
        <v>12</v>
      </c>
      <c r="L244" t="s">
        <v>145</v>
      </c>
      <c r="M244" t="s">
        <v>1108</v>
      </c>
      <c r="O244">
        <v>81.3</v>
      </c>
      <c r="DF244">
        <v>1</v>
      </c>
    </row>
    <row r="245" spans="1:152" x14ac:dyDescent="0.25">
      <c r="A245" t="s">
        <v>63</v>
      </c>
      <c r="B245" t="s">
        <v>54</v>
      </c>
      <c r="C245" s="3">
        <v>39.950000000000003</v>
      </c>
      <c r="D245" s="3">
        <v>116.395</v>
      </c>
      <c r="E245" t="s">
        <v>12</v>
      </c>
      <c r="F245" t="s">
        <v>77</v>
      </c>
      <c r="G245" t="s">
        <v>76</v>
      </c>
      <c r="H245">
        <v>40</v>
      </c>
      <c r="I245" t="s">
        <v>12</v>
      </c>
      <c r="J245" t="s">
        <v>12</v>
      </c>
      <c r="K245" t="s">
        <v>12</v>
      </c>
      <c r="L245" t="s">
        <v>145</v>
      </c>
      <c r="M245" t="s">
        <v>1108</v>
      </c>
      <c r="O245">
        <v>185.2</v>
      </c>
      <c r="DG245">
        <v>1</v>
      </c>
    </row>
    <row r="246" spans="1:152" x14ac:dyDescent="0.25">
      <c r="A246" t="s">
        <v>63</v>
      </c>
      <c r="B246" t="s">
        <v>54</v>
      </c>
      <c r="C246" s="3">
        <v>39.950000000000003</v>
      </c>
      <c r="D246" s="3">
        <v>116.395</v>
      </c>
      <c r="E246" t="s">
        <v>12</v>
      </c>
      <c r="F246" t="s">
        <v>77</v>
      </c>
      <c r="G246" t="s">
        <v>76</v>
      </c>
      <c r="H246">
        <v>40</v>
      </c>
      <c r="I246" t="s">
        <v>12</v>
      </c>
      <c r="J246" t="s">
        <v>12</v>
      </c>
      <c r="K246" t="s">
        <v>12</v>
      </c>
      <c r="L246" t="s">
        <v>145</v>
      </c>
      <c r="M246" t="s">
        <v>1108</v>
      </c>
      <c r="O246">
        <v>107.7</v>
      </c>
      <c r="DH246">
        <v>1</v>
      </c>
    </row>
    <row r="247" spans="1:152" x14ac:dyDescent="0.25">
      <c r="A247" t="s">
        <v>63</v>
      </c>
      <c r="B247" t="s">
        <v>54</v>
      </c>
      <c r="C247" s="3">
        <v>39.950000000000003</v>
      </c>
      <c r="D247" s="3">
        <v>116.395</v>
      </c>
      <c r="E247" t="s">
        <v>12</v>
      </c>
      <c r="F247" t="s">
        <v>77</v>
      </c>
      <c r="G247" t="s">
        <v>76</v>
      </c>
      <c r="H247">
        <v>40</v>
      </c>
      <c r="I247" t="s">
        <v>12</v>
      </c>
      <c r="J247" t="s">
        <v>12</v>
      </c>
      <c r="K247" t="s">
        <v>12</v>
      </c>
      <c r="L247" t="s">
        <v>145</v>
      </c>
      <c r="M247" t="s">
        <v>1108</v>
      </c>
      <c r="O247">
        <v>107.7</v>
      </c>
      <c r="DI247">
        <v>1</v>
      </c>
    </row>
    <row r="248" spans="1:152" x14ac:dyDescent="0.25">
      <c r="A248" t="s">
        <v>63</v>
      </c>
      <c r="B248" t="s">
        <v>54</v>
      </c>
      <c r="C248" s="3">
        <v>39.950000000000003</v>
      </c>
      <c r="D248" s="3">
        <v>116.395</v>
      </c>
      <c r="E248" t="s">
        <v>12</v>
      </c>
      <c r="F248" t="s">
        <v>77</v>
      </c>
      <c r="G248" t="s">
        <v>76</v>
      </c>
      <c r="H248">
        <v>40</v>
      </c>
      <c r="I248" t="s">
        <v>12</v>
      </c>
      <c r="J248" t="s">
        <v>12</v>
      </c>
      <c r="K248" t="s">
        <v>12</v>
      </c>
      <c r="L248" t="s">
        <v>145</v>
      </c>
      <c r="M248" t="s">
        <v>1108</v>
      </c>
      <c r="O248">
        <v>127</v>
      </c>
      <c r="DJ248">
        <v>1</v>
      </c>
    </row>
    <row r="249" spans="1:152" x14ac:dyDescent="0.25">
      <c r="A249" t="s">
        <v>63</v>
      </c>
      <c r="B249" t="s">
        <v>54</v>
      </c>
      <c r="C249" s="3">
        <v>39.950000000000003</v>
      </c>
      <c r="D249" s="3">
        <v>116.395</v>
      </c>
      <c r="E249" t="s">
        <v>12</v>
      </c>
      <c r="F249" t="s">
        <v>77</v>
      </c>
      <c r="G249" t="s">
        <v>76</v>
      </c>
      <c r="H249">
        <v>40</v>
      </c>
      <c r="I249" t="s">
        <v>12</v>
      </c>
      <c r="J249" t="s">
        <v>12</v>
      </c>
      <c r="K249" t="s">
        <v>12</v>
      </c>
      <c r="L249" t="s">
        <v>145</v>
      </c>
      <c r="M249" t="s">
        <v>1108</v>
      </c>
      <c r="O249">
        <v>122.5</v>
      </c>
      <c r="DK249">
        <v>1</v>
      </c>
    </row>
    <row r="250" spans="1:152" x14ac:dyDescent="0.25">
      <c r="A250" t="s">
        <v>63</v>
      </c>
      <c r="B250" t="s">
        <v>54</v>
      </c>
      <c r="C250" s="3">
        <v>39.950000000000003</v>
      </c>
      <c r="D250" s="3">
        <v>116.395</v>
      </c>
      <c r="E250" t="s">
        <v>12</v>
      </c>
      <c r="F250" t="s">
        <v>77</v>
      </c>
      <c r="G250" t="s">
        <v>76</v>
      </c>
      <c r="H250">
        <v>40</v>
      </c>
      <c r="I250" t="s">
        <v>12</v>
      </c>
      <c r="J250" t="s">
        <v>12</v>
      </c>
      <c r="K250" t="s">
        <v>12</v>
      </c>
      <c r="L250" t="s">
        <v>145</v>
      </c>
      <c r="M250" t="s">
        <v>1108</v>
      </c>
      <c r="O250">
        <v>86.2</v>
      </c>
      <c r="DL250">
        <v>1</v>
      </c>
    </row>
    <row r="251" spans="1:152" x14ac:dyDescent="0.25">
      <c r="A251" t="s">
        <v>63</v>
      </c>
      <c r="B251" t="s">
        <v>54</v>
      </c>
      <c r="C251" s="3">
        <f>AVERAGE(40+19/60,40+29/60)</f>
        <v>40.400000000000006</v>
      </c>
      <c r="D251" s="3">
        <f>AVERAGE(116+19/60,116+47/60)</f>
        <v>116.55</v>
      </c>
      <c r="E251" t="s">
        <v>15</v>
      </c>
      <c r="F251" t="s">
        <v>8</v>
      </c>
      <c r="G251" t="s">
        <v>106</v>
      </c>
      <c r="H251">
        <v>40</v>
      </c>
      <c r="I251" t="s">
        <v>15</v>
      </c>
      <c r="J251" t="s">
        <v>15</v>
      </c>
      <c r="K251" t="s">
        <v>15</v>
      </c>
      <c r="L251" t="s">
        <v>121</v>
      </c>
      <c r="M251" t="s">
        <v>1113</v>
      </c>
      <c r="O251">
        <v>118.5</v>
      </c>
      <c r="P251">
        <v>40.6</v>
      </c>
      <c r="EH251">
        <v>1</v>
      </c>
      <c r="EI251">
        <v>1</v>
      </c>
      <c r="EJ251">
        <v>1</v>
      </c>
      <c r="EK251">
        <v>1</v>
      </c>
      <c r="EL251">
        <v>1</v>
      </c>
      <c r="EM251">
        <v>1</v>
      </c>
      <c r="EN251">
        <v>1</v>
      </c>
      <c r="EO251">
        <v>1</v>
      </c>
      <c r="EP251">
        <v>1</v>
      </c>
      <c r="EQ251">
        <v>1</v>
      </c>
      <c r="ER251">
        <v>1</v>
      </c>
      <c r="ES251">
        <v>1</v>
      </c>
      <c r="ET251">
        <v>1</v>
      </c>
      <c r="EU251">
        <v>1</v>
      </c>
      <c r="EV251">
        <v>1</v>
      </c>
    </row>
    <row r="252" spans="1:152" x14ac:dyDescent="0.25">
      <c r="A252" t="s">
        <v>63</v>
      </c>
      <c r="B252" t="s">
        <v>54</v>
      </c>
      <c r="C252" s="3">
        <v>39.930999999999997</v>
      </c>
      <c r="D252" s="3">
        <v>116.354</v>
      </c>
      <c r="E252" t="s">
        <v>34</v>
      </c>
      <c r="F252" t="s">
        <v>8</v>
      </c>
      <c r="G252" t="s">
        <v>106</v>
      </c>
      <c r="I252" t="s">
        <v>12</v>
      </c>
      <c r="J252" t="s">
        <v>12</v>
      </c>
      <c r="K252" t="s">
        <v>15</v>
      </c>
      <c r="L252" t="s">
        <v>119</v>
      </c>
      <c r="M252" t="s">
        <v>1115</v>
      </c>
      <c r="O252">
        <v>125</v>
      </c>
      <c r="BS252">
        <v>1</v>
      </c>
      <c r="BT252">
        <v>1</v>
      </c>
      <c r="BU252">
        <v>1</v>
      </c>
      <c r="BV252">
        <v>1</v>
      </c>
      <c r="BW252">
        <v>1</v>
      </c>
      <c r="BX252">
        <v>1</v>
      </c>
      <c r="BY252">
        <v>1</v>
      </c>
      <c r="BZ252">
        <v>1</v>
      </c>
      <c r="CA252">
        <v>1</v>
      </c>
      <c r="CB252">
        <v>1</v>
      </c>
      <c r="CC252">
        <v>1</v>
      </c>
      <c r="CD252">
        <v>1</v>
      </c>
    </row>
    <row r="253" spans="1:152" x14ac:dyDescent="0.25">
      <c r="A253" t="s">
        <v>63</v>
      </c>
      <c r="B253" t="s">
        <v>54</v>
      </c>
      <c r="C253" s="3">
        <v>40</v>
      </c>
      <c r="D253" s="3">
        <v>116.354</v>
      </c>
      <c r="E253" t="s">
        <v>34</v>
      </c>
      <c r="F253" t="s">
        <v>77</v>
      </c>
      <c r="G253" t="s">
        <v>76</v>
      </c>
      <c r="H253">
        <v>40</v>
      </c>
      <c r="I253" t="s">
        <v>15</v>
      </c>
      <c r="J253" t="s">
        <v>12</v>
      </c>
      <c r="K253" t="s">
        <v>12</v>
      </c>
      <c r="L253" t="s">
        <v>110</v>
      </c>
      <c r="M253" t="s">
        <v>1119</v>
      </c>
      <c r="O253">
        <v>61.6</v>
      </c>
      <c r="P253">
        <v>44.7</v>
      </c>
      <c r="EI253">
        <v>1</v>
      </c>
      <c r="EJ253">
        <v>1</v>
      </c>
      <c r="EK253">
        <v>1</v>
      </c>
    </row>
    <row r="254" spans="1:152" x14ac:dyDescent="0.25">
      <c r="A254" t="s">
        <v>63</v>
      </c>
      <c r="B254" t="s">
        <v>54</v>
      </c>
      <c r="C254" s="3">
        <v>40</v>
      </c>
      <c r="D254" s="3">
        <v>116.354</v>
      </c>
      <c r="E254" t="s">
        <v>34</v>
      </c>
      <c r="F254" t="s">
        <v>77</v>
      </c>
      <c r="G254" t="s">
        <v>76</v>
      </c>
      <c r="H254">
        <v>40</v>
      </c>
      <c r="I254" t="s">
        <v>15</v>
      </c>
      <c r="J254" t="s">
        <v>12</v>
      </c>
      <c r="K254" t="s">
        <v>12</v>
      </c>
      <c r="L254" t="s">
        <v>110</v>
      </c>
      <c r="M254" t="s">
        <v>1119</v>
      </c>
      <c r="O254">
        <v>68.599999999999994</v>
      </c>
      <c r="P254">
        <v>17</v>
      </c>
      <c r="EL254">
        <v>1</v>
      </c>
      <c r="EM254">
        <v>1</v>
      </c>
      <c r="EN254">
        <v>1</v>
      </c>
    </row>
    <row r="255" spans="1:152" x14ac:dyDescent="0.25">
      <c r="A255" t="s">
        <v>63</v>
      </c>
      <c r="B255" t="s">
        <v>54</v>
      </c>
      <c r="C255" s="3">
        <v>40</v>
      </c>
      <c r="D255" s="3">
        <v>116.354</v>
      </c>
      <c r="E255" t="s">
        <v>34</v>
      </c>
      <c r="F255" t="s">
        <v>77</v>
      </c>
      <c r="G255" t="s">
        <v>76</v>
      </c>
      <c r="H255">
        <v>40</v>
      </c>
      <c r="I255" t="s">
        <v>15</v>
      </c>
      <c r="J255" t="s">
        <v>12</v>
      </c>
      <c r="K255" t="s">
        <v>12</v>
      </c>
      <c r="L255" t="s">
        <v>110</v>
      </c>
      <c r="M255" t="s">
        <v>1119</v>
      </c>
      <c r="O255">
        <v>76.5</v>
      </c>
      <c r="P255">
        <v>30.7</v>
      </c>
      <c r="EO255">
        <v>1</v>
      </c>
      <c r="EP255">
        <v>1</v>
      </c>
      <c r="EQ255">
        <v>1</v>
      </c>
    </row>
    <row r="256" spans="1:152" x14ac:dyDescent="0.25">
      <c r="A256" t="s">
        <v>63</v>
      </c>
      <c r="B256" t="s">
        <v>54</v>
      </c>
      <c r="C256" s="3">
        <v>40</v>
      </c>
      <c r="D256" s="3">
        <v>116.354</v>
      </c>
      <c r="E256" t="s">
        <v>34</v>
      </c>
      <c r="F256" t="s">
        <v>77</v>
      </c>
      <c r="G256" t="s">
        <v>76</v>
      </c>
      <c r="H256">
        <v>40</v>
      </c>
      <c r="I256" t="s">
        <v>15</v>
      </c>
      <c r="J256" t="s">
        <v>12</v>
      </c>
      <c r="K256" t="s">
        <v>12</v>
      </c>
      <c r="L256" t="s">
        <v>110</v>
      </c>
      <c r="M256" t="s">
        <v>1119</v>
      </c>
      <c r="O256">
        <v>57.4</v>
      </c>
      <c r="P256">
        <v>37.4</v>
      </c>
      <c r="ER256">
        <v>1</v>
      </c>
      <c r="ES256">
        <v>1</v>
      </c>
      <c r="ET256">
        <v>1</v>
      </c>
    </row>
    <row r="257" spans="1:208" x14ac:dyDescent="0.25">
      <c r="A257" t="s">
        <v>63</v>
      </c>
      <c r="B257" t="s">
        <v>54</v>
      </c>
      <c r="C257" s="3">
        <v>40</v>
      </c>
      <c r="D257" s="3">
        <v>116.354</v>
      </c>
      <c r="E257" t="s">
        <v>34</v>
      </c>
      <c r="F257" t="s">
        <v>77</v>
      </c>
      <c r="G257" t="s">
        <v>76</v>
      </c>
      <c r="H257">
        <v>40</v>
      </c>
      <c r="I257" t="s">
        <v>15</v>
      </c>
      <c r="J257" t="s">
        <v>12</v>
      </c>
      <c r="K257" t="s">
        <v>12</v>
      </c>
      <c r="L257" t="s">
        <v>110</v>
      </c>
      <c r="M257" t="s">
        <v>1119</v>
      </c>
      <c r="O257">
        <v>95.6</v>
      </c>
      <c r="P257">
        <v>35.4</v>
      </c>
      <c r="EU257">
        <v>1</v>
      </c>
      <c r="EV257">
        <v>1</v>
      </c>
      <c r="EW257">
        <v>1</v>
      </c>
    </row>
    <row r="258" spans="1:208" x14ac:dyDescent="0.25">
      <c r="A258" t="s">
        <v>63</v>
      </c>
      <c r="B258" t="s">
        <v>54</v>
      </c>
      <c r="C258" s="3">
        <v>40</v>
      </c>
      <c r="D258" s="3">
        <v>116.354</v>
      </c>
      <c r="E258" t="s">
        <v>34</v>
      </c>
      <c r="F258" t="s">
        <v>77</v>
      </c>
      <c r="G258" t="s">
        <v>76</v>
      </c>
      <c r="H258">
        <v>40</v>
      </c>
      <c r="I258" t="s">
        <v>15</v>
      </c>
      <c r="J258" t="s">
        <v>12</v>
      </c>
      <c r="K258" t="s">
        <v>12</v>
      </c>
      <c r="L258" t="s">
        <v>110</v>
      </c>
      <c r="M258" t="s">
        <v>1119</v>
      </c>
      <c r="O258">
        <v>55.2</v>
      </c>
      <c r="P258">
        <v>10.7</v>
      </c>
      <c r="EX258">
        <v>1</v>
      </c>
      <c r="EY258">
        <v>1</v>
      </c>
      <c r="EZ258">
        <v>1</v>
      </c>
    </row>
    <row r="259" spans="1:208" x14ac:dyDescent="0.25">
      <c r="A259" t="s">
        <v>63</v>
      </c>
      <c r="B259" t="s">
        <v>54</v>
      </c>
      <c r="C259" s="3">
        <v>40</v>
      </c>
      <c r="D259" s="3">
        <v>116.354</v>
      </c>
      <c r="E259" t="s">
        <v>34</v>
      </c>
      <c r="F259" t="s">
        <v>77</v>
      </c>
      <c r="G259" t="s">
        <v>76</v>
      </c>
      <c r="H259">
        <v>40</v>
      </c>
      <c r="I259" t="s">
        <v>15</v>
      </c>
      <c r="J259" t="s">
        <v>12</v>
      </c>
      <c r="K259" t="s">
        <v>12</v>
      </c>
      <c r="L259" t="s">
        <v>110</v>
      </c>
      <c r="M259" t="s">
        <v>1119</v>
      </c>
      <c r="O259">
        <v>57.4</v>
      </c>
      <c r="P259">
        <v>20.5</v>
      </c>
      <c r="FA259">
        <v>1</v>
      </c>
      <c r="FB259">
        <v>1</v>
      </c>
      <c r="FC259">
        <v>1</v>
      </c>
    </row>
    <row r="260" spans="1:208" x14ac:dyDescent="0.25">
      <c r="A260" t="s">
        <v>63</v>
      </c>
      <c r="B260" t="s">
        <v>54</v>
      </c>
      <c r="C260" s="3">
        <v>40</v>
      </c>
      <c r="D260" s="3">
        <v>116.354</v>
      </c>
      <c r="E260" t="s">
        <v>34</v>
      </c>
      <c r="F260" t="s">
        <v>77</v>
      </c>
      <c r="G260" t="s">
        <v>76</v>
      </c>
      <c r="H260">
        <v>40</v>
      </c>
      <c r="I260" t="s">
        <v>15</v>
      </c>
      <c r="J260" t="s">
        <v>12</v>
      </c>
      <c r="K260" t="s">
        <v>12</v>
      </c>
      <c r="L260" t="s">
        <v>110</v>
      </c>
      <c r="M260" t="s">
        <v>1119</v>
      </c>
      <c r="O260">
        <v>79</v>
      </c>
      <c r="P260">
        <v>20.9</v>
      </c>
      <c r="FD260">
        <v>1</v>
      </c>
      <c r="FE260">
        <v>1</v>
      </c>
      <c r="FF260">
        <v>1</v>
      </c>
    </row>
    <row r="261" spans="1:208" x14ac:dyDescent="0.25">
      <c r="A261" t="s">
        <v>63</v>
      </c>
      <c r="B261" t="s">
        <v>54</v>
      </c>
      <c r="C261" s="3">
        <v>40</v>
      </c>
      <c r="D261" s="3">
        <v>116.354</v>
      </c>
      <c r="E261" t="s">
        <v>34</v>
      </c>
      <c r="F261" t="s">
        <v>77</v>
      </c>
      <c r="G261" t="s">
        <v>76</v>
      </c>
      <c r="H261">
        <v>40</v>
      </c>
      <c r="I261" t="s">
        <v>15</v>
      </c>
      <c r="J261" t="s">
        <v>12</v>
      </c>
      <c r="K261" t="s">
        <v>12</v>
      </c>
      <c r="L261" t="s">
        <v>110</v>
      </c>
      <c r="M261" t="s">
        <v>1119</v>
      </c>
      <c r="O261">
        <v>72.400000000000006</v>
      </c>
      <c r="P261">
        <v>31.8</v>
      </c>
      <c r="FG261">
        <v>1</v>
      </c>
      <c r="FH261">
        <v>1</v>
      </c>
      <c r="FI261">
        <v>1</v>
      </c>
    </row>
    <row r="262" spans="1:208" x14ac:dyDescent="0.25">
      <c r="A262" t="s">
        <v>63</v>
      </c>
      <c r="B262" t="s">
        <v>54</v>
      </c>
      <c r="C262" s="3">
        <v>40</v>
      </c>
      <c r="D262" s="3">
        <v>116.354</v>
      </c>
      <c r="E262" t="s">
        <v>34</v>
      </c>
      <c r="F262" t="s">
        <v>77</v>
      </c>
      <c r="G262" t="s">
        <v>76</v>
      </c>
      <c r="H262">
        <v>40</v>
      </c>
      <c r="I262" t="s">
        <v>15</v>
      </c>
      <c r="J262" t="s">
        <v>12</v>
      </c>
      <c r="K262" t="s">
        <v>12</v>
      </c>
      <c r="L262" t="s">
        <v>110</v>
      </c>
      <c r="M262" t="s">
        <v>1119</v>
      </c>
      <c r="O262">
        <v>58.9</v>
      </c>
      <c r="P262">
        <v>21.5</v>
      </c>
      <c r="FJ262">
        <v>1</v>
      </c>
      <c r="FK262">
        <v>1</v>
      </c>
      <c r="FL262">
        <v>1</v>
      </c>
    </row>
    <row r="263" spans="1:208" x14ac:dyDescent="0.25">
      <c r="A263" t="s">
        <v>63</v>
      </c>
      <c r="B263" t="s">
        <v>54</v>
      </c>
      <c r="C263" s="3">
        <v>40</v>
      </c>
      <c r="D263" s="3">
        <v>116.354</v>
      </c>
      <c r="E263" t="s">
        <v>34</v>
      </c>
      <c r="F263" t="s">
        <v>77</v>
      </c>
      <c r="G263" t="s">
        <v>76</v>
      </c>
      <c r="H263">
        <v>40</v>
      </c>
      <c r="I263" t="s">
        <v>15</v>
      </c>
      <c r="J263" t="s">
        <v>12</v>
      </c>
      <c r="K263" t="s">
        <v>12</v>
      </c>
      <c r="L263" t="s">
        <v>110</v>
      </c>
      <c r="M263" t="s">
        <v>1119</v>
      </c>
      <c r="O263">
        <v>55.7</v>
      </c>
      <c r="P263">
        <v>33.700000000000003</v>
      </c>
      <c r="FM263">
        <v>1</v>
      </c>
      <c r="FN263">
        <v>1</v>
      </c>
      <c r="FO263">
        <v>1</v>
      </c>
    </row>
    <row r="264" spans="1:208" x14ac:dyDescent="0.25">
      <c r="A264" t="s">
        <v>63</v>
      </c>
      <c r="B264" t="s">
        <v>54</v>
      </c>
      <c r="C264" s="3">
        <v>40</v>
      </c>
      <c r="D264" s="3">
        <v>116.354</v>
      </c>
      <c r="E264" t="s">
        <v>34</v>
      </c>
      <c r="F264" t="s">
        <v>77</v>
      </c>
      <c r="G264" t="s">
        <v>76</v>
      </c>
      <c r="H264">
        <v>40</v>
      </c>
      <c r="I264" t="s">
        <v>15</v>
      </c>
      <c r="J264" t="s">
        <v>12</v>
      </c>
      <c r="K264" t="s">
        <v>12</v>
      </c>
      <c r="L264" t="s">
        <v>110</v>
      </c>
      <c r="M264" t="s">
        <v>1119</v>
      </c>
      <c r="O264">
        <v>87</v>
      </c>
      <c r="P264">
        <v>36.5</v>
      </c>
      <c r="FP264">
        <v>1</v>
      </c>
      <c r="FQ264">
        <v>1</v>
      </c>
      <c r="FR264">
        <v>1</v>
      </c>
    </row>
    <row r="265" spans="1:208" x14ac:dyDescent="0.25">
      <c r="A265" t="s">
        <v>63</v>
      </c>
      <c r="B265" t="s">
        <v>54</v>
      </c>
      <c r="C265" s="3">
        <v>40</v>
      </c>
      <c r="D265" s="3">
        <v>116.354</v>
      </c>
      <c r="E265" t="s">
        <v>34</v>
      </c>
      <c r="F265" t="s">
        <v>77</v>
      </c>
      <c r="G265" t="s">
        <v>76</v>
      </c>
      <c r="H265">
        <v>40</v>
      </c>
      <c r="I265" t="s">
        <v>15</v>
      </c>
      <c r="J265" t="s">
        <v>12</v>
      </c>
      <c r="K265" t="s">
        <v>12</v>
      </c>
      <c r="L265" t="s">
        <v>110</v>
      </c>
      <c r="M265" t="s">
        <v>1119</v>
      </c>
      <c r="O265">
        <v>75.5</v>
      </c>
      <c r="P265">
        <v>41</v>
      </c>
      <c r="FS265">
        <v>1</v>
      </c>
      <c r="FT265">
        <v>1</v>
      </c>
      <c r="FU265">
        <v>1</v>
      </c>
    </row>
    <row r="266" spans="1:208" x14ac:dyDescent="0.25">
      <c r="A266" t="s">
        <v>63</v>
      </c>
      <c r="B266" t="s">
        <v>54</v>
      </c>
      <c r="C266" s="3">
        <v>39.909999999999997</v>
      </c>
      <c r="D266" s="3">
        <v>116.4</v>
      </c>
      <c r="E266" t="s">
        <v>12</v>
      </c>
      <c r="F266" t="s">
        <v>77</v>
      </c>
      <c r="G266" t="s">
        <v>106</v>
      </c>
      <c r="I266" t="s">
        <v>12</v>
      </c>
      <c r="J266" t="s">
        <v>12</v>
      </c>
      <c r="K266" t="s">
        <v>15</v>
      </c>
      <c r="L266" t="s">
        <v>113</v>
      </c>
      <c r="M266" t="s">
        <v>1120</v>
      </c>
      <c r="O266">
        <v>57.5</v>
      </c>
      <c r="P266">
        <v>45.6</v>
      </c>
      <c r="GO266">
        <v>1</v>
      </c>
      <c r="GP266">
        <v>1</v>
      </c>
      <c r="GZ266">
        <v>1</v>
      </c>
    </row>
    <row r="267" spans="1:208" x14ac:dyDescent="0.25">
      <c r="A267" t="s">
        <v>63</v>
      </c>
      <c r="B267" t="s">
        <v>54</v>
      </c>
      <c r="C267" s="3">
        <v>39.909999999999997</v>
      </c>
      <c r="D267" s="3">
        <v>116.4</v>
      </c>
      <c r="E267" t="s">
        <v>12</v>
      </c>
      <c r="F267" t="s">
        <v>77</v>
      </c>
      <c r="G267" t="s">
        <v>106</v>
      </c>
      <c r="I267" t="s">
        <v>12</v>
      </c>
      <c r="J267" t="s">
        <v>12</v>
      </c>
      <c r="K267" t="s">
        <v>15</v>
      </c>
      <c r="L267" t="s">
        <v>113</v>
      </c>
      <c r="M267" t="s">
        <v>1120</v>
      </c>
      <c r="O267">
        <v>59.1</v>
      </c>
      <c r="P267">
        <v>39.1</v>
      </c>
      <c r="GQ267">
        <v>1</v>
      </c>
      <c r="GR267">
        <v>1</v>
      </c>
      <c r="GS267">
        <v>1</v>
      </c>
    </row>
    <row r="268" spans="1:208" x14ac:dyDescent="0.25">
      <c r="A268" t="s">
        <v>63</v>
      </c>
      <c r="B268" t="s">
        <v>54</v>
      </c>
      <c r="C268" s="3">
        <v>39.909999999999997</v>
      </c>
      <c r="D268" s="3">
        <v>116.4</v>
      </c>
      <c r="E268" t="s">
        <v>12</v>
      </c>
      <c r="F268" t="s">
        <v>77</v>
      </c>
      <c r="G268" t="s">
        <v>106</v>
      </c>
      <c r="I268" t="s">
        <v>12</v>
      </c>
      <c r="J268" t="s">
        <v>12</v>
      </c>
      <c r="K268" t="s">
        <v>15</v>
      </c>
      <c r="L268" t="s">
        <v>113</v>
      </c>
      <c r="M268" t="s">
        <v>1120</v>
      </c>
      <c r="O268">
        <v>51.2</v>
      </c>
      <c r="P268">
        <v>28.2</v>
      </c>
      <c r="GT268">
        <v>1</v>
      </c>
      <c r="GU268">
        <v>1</v>
      </c>
      <c r="GV268">
        <v>1</v>
      </c>
    </row>
    <row r="269" spans="1:208" x14ac:dyDescent="0.25">
      <c r="A269" t="s">
        <v>63</v>
      </c>
      <c r="B269" t="s">
        <v>54</v>
      </c>
      <c r="C269" s="3">
        <v>39.909999999999997</v>
      </c>
      <c r="D269" s="3">
        <v>116.4</v>
      </c>
      <c r="E269" t="s">
        <v>12</v>
      </c>
      <c r="F269" t="s">
        <v>77</v>
      </c>
      <c r="G269" t="s">
        <v>106</v>
      </c>
      <c r="I269" t="s">
        <v>12</v>
      </c>
      <c r="J269" t="s">
        <v>12</v>
      </c>
      <c r="K269" t="s">
        <v>15</v>
      </c>
      <c r="L269" t="s">
        <v>113</v>
      </c>
      <c r="M269" t="s">
        <v>1120</v>
      </c>
      <c r="O269">
        <v>54.3</v>
      </c>
      <c r="P269">
        <v>40.200000000000003</v>
      </c>
      <c r="GW269">
        <v>1</v>
      </c>
      <c r="GX269">
        <v>1</v>
      </c>
      <c r="GY269">
        <v>1</v>
      </c>
    </row>
    <row r="270" spans="1:208" x14ac:dyDescent="0.25">
      <c r="A270" t="s">
        <v>63</v>
      </c>
      <c r="B270" t="s">
        <v>54</v>
      </c>
      <c r="C270" s="3">
        <v>39.909999999999997</v>
      </c>
      <c r="D270" s="3">
        <v>116.4</v>
      </c>
      <c r="E270" t="s">
        <v>12</v>
      </c>
      <c r="F270" t="s">
        <v>77</v>
      </c>
      <c r="G270" t="s">
        <v>60</v>
      </c>
      <c r="I270" t="s">
        <v>12</v>
      </c>
      <c r="J270" t="s">
        <v>12</v>
      </c>
      <c r="K270" t="s">
        <v>12</v>
      </c>
      <c r="L270" t="s">
        <v>112</v>
      </c>
      <c r="M270" t="s">
        <v>1121</v>
      </c>
      <c r="O270">
        <v>87.4</v>
      </c>
      <c r="P270">
        <v>67.7</v>
      </c>
      <c r="DI270">
        <v>0.5</v>
      </c>
    </row>
    <row r="271" spans="1:208" x14ac:dyDescent="0.25">
      <c r="A271" t="s">
        <v>63</v>
      </c>
      <c r="B271" t="s">
        <v>54</v>
      </c>
      <c r="C271" s="3">
        <v>39.909999999999997</v>
      </c>
      <c r="D271" s="3">
        <v>116.4</v>
      </c>
      <c r="E271" t="s">
        <v>12</v>
      </c>
      <c r="F271" t="s">
        <v>77</v>
      </c>
      <c r="G271" t="s">
        <v>60</v>
      </c>
      <c r="I271" t="s">
        <v>12</v>
      </c>
      <c r="J271" t="s">
        <v>12</v>
      </c>
      <c r="K271" t="s">
        <v>12</v>
      </c>
      <c r="L271" t="s">
        <v>112</v>
      </c>
      <c r="M271" t="s">
        <v>1121</v>
      </c>
      <c r="O271">
        <v>75</v>
      </c>
      <c r="P271">
        <v>54.7</v>
      </c>
      <c r="DP271">
        <v>0.25</v>
      </c>
      <c r="DQ271">
        <v>0.25</v>
      </c>
    </row>
    <row r="272" spans="1:208" x14ac:dyDescent="0.25">
      <c r="A272" t="s">
        <v>63</v>
      </c>
      <c r="B272" t="s">
        <v>54</v>
      </c>
      <c r="C272" s="3">
        <v>39.9</v>
      </c>
      <c r="D272" s="3">
        <v>116.4</v>
      </c>
      <c r="E272" t="s">
        <v>12</v>
      </c>
      <c r="F272" t="s">
        <v>77</v>
      </c>
      <c r="G272" t="s">
        <v>106</v>
      </c>
      <c r="I272" t="s">
        <v>12</v>
      </c>
      <c r="J272" t="s">
        <v>12</v>
      </c>
      <c r="K272" t="s">
        <v>15</v>
      </c>
      <c r="L272" t="s">
        <v>104</v>
      </c>
      <c r="M272" t="s">
        <v>1125</v>
      </c>
      <c r="O272">
        <v>107</v>
      </c>
      <c r="P272">
        <v>61</v>
      </c>
      <c r="CP272">
        <v>1</v>
      </c>
      <c r="CQ272">
        <v>1</v>
      </c>
      <c r="CR272">
        <v>1</v>
      </c>
      <c r="DB272">
        <v>1</v>
      </c>
      <c r="DC272">
        <v>1</v>
      </c>
      <c r="DD272">
        <v>1</v>
      </c>
    </row>
    <row r="273" spans="1:197" x14ac:dyDescent="0.25">
      <c r="A273" t="s">
        <v>63</v>
      </c>
      <c r="B273" t="s">
        <v>54</v>
      </c>
      <c r="C273" s="3">
        <v>39.9</v>
      </c>
      <c r="D273" s="3">
        <v>116.4</v>
      </c>
      <c r="E273" t="s">
        <v>12</v>
      </c>
      <c r="F273" t="s">
        <v>77</v>
      </c>
      <c r="G273" t="s">
        <v>106</v>
      </c>
      <c r="I273" t="s">
        <v>12</v>
      </c>
      <c r="J273" t="s">
        <v>12</v>
      </c>
      <c r="K273" t="s">
        <v>15</v>
      </c>
      <c r="L273" t="s">
        <v>104</v>
      </c>
      <c r="M273" t="s">
        <v>1125</v>
      </c>
      <c r="O273">
        <v>182</v>
      </c>
      <c r="P273">
        <v>107</v>
      </c>
      <c r="CV273">
        <v>1</v>
      </c>
      <c r="CW273">
        <v>1</v>
      </c>
      <c r="CX273">
        <v>1</v>
      </c>
      <c r="DH273">
        <v>1</v>
      </c>
      <c r="DI273">
        <v>1</v>
      </c>
      <c r="DJ273">
        <v>1</v>
      </c>
    </row>
    <row r="274" spans="1:197" x14ac:dyDescent="0.25">
      <c r="A274" t="s">
        <v>63</v>
      </c>
      <c r="B274" t="s">
        <v>54</v>
      </c>
      <c r="C274" s="3">
        <v>39.9</v>
      </c>
      <c r="D274" s="3">
        <v>116.4</v>
      </c>
      <c r="E274" t="s">
        <v>12</v>
      </c>
      <c r="F274" t="s">
        <v>77</v>
      </c>
      <c r="G274" t="s">
        <v>106</v>
      </c>
      <c r="I274" t="s">
        <v>12</v>
      </c>
      <c r="J274" t="s">
        <v>12</v>
      </c>
      <c r="K274" t="s">
        <v>15</v>
      </c>
      <c r="L274" t="s">
        <v>104</v>
      </c>
      <c r="M274" t="s">
        <v>1125</v>
      </c>
      <c r="O274">
        <v>145</v>
      </c>
      <c r="P274">
        <v>150</v>
      </c>
      <c r="CY274">
        <v>1</v>
      </c>
      <c r="CZ274">
        <v>1</v>
      </c>
      <c r="DA274">
        <v>1</v>
      </c>
      <c r="DK274">
        <v>1</v>
      </c>
      <c r="DL274">
        <v>1</v>
      </c>
      <c r="DM274">
        <v>1</v>
      </c>
    </row>
    <row r="275" spans="1:197" x14ac:dyDescent="0.25">
      <c r="A275" t="s">
        <v>63</v>
      </c>
      <c r="B275" t="s">
        <v>54</v>
      </c>
      <c r="C275" s="3">
        <v>39.950000000000003</v>
      </c>
      <c r="D275" s="3">
        <v>116.36499999999999</v>
      </c>
      <c r="E275" t="s">
        <v>34</v>
      </c>
      <c r="F275" t="s">
        <v>77</v>
      </c>
      <c r="G275" t="s">
        <v>95</v>
      </c>
      <c r="I275" t="s">
        <v>12</v>
      </c>
      <c r="J275" t="s">
        <v>12</v>
      </c>
      <c r="K275" t="s">
        <v>15</v>
      </c>
      <c r="L275" t="s">
        <v>786</v>
      </c>
      <c r="M275" t="s">
        <v>1127</v>
      </c>
      <c r="O275">
        <v>141.9</v>
      </c>
      <c r="CK275">
        <v>1</v>
      </c>
      <c r="CL275">
        <v>1</v>
      </c>
      <c r="CM275">
        <v>1</v>
      </c>
      <c r="CN275">
        <v>1</v>
      </c>
      <c r="CO275">
        <v>1</v>
      </c>
      <c r="CP275">
        <v>1</v>
      </c>
      <c r="CQ275">
        <v>1</v>
      </c>
      <c r="CR275">
        <v>1</v>
      </c>
      <c r="CS275">
        <v>1</v>
      </c>
      <c r="CT275">
        <v>1</v>
      </c>
      <c r="CU275">
        <v>1</v>
      </c>
      <c r="CV275">
        <v>1</v>
      </c>
      <c r="CW275">
        <v>1</v>
      </c>
      <c r="CX275">
        <v>1</v>
      </c>
      <c r="CY275">
        <v>1</v>
      </c>
      <c r="CZ275">
        <v>1</v>
      </c>
      <c r="DA275">
        <v>1</v>
      </c>
      <c r="DB275">
        <v>1</v>
      </c>
      <c r="DC275">
        <v>1</v>
      </c>
      <c r="DD275">
        <v>1</v>
      </c>
      <c r="DE275">
        <v>1</v>
      </c>
      <c r="DF275">
        <v>1</v>
      </c>
      <c r="DG275">
        <v>1</v>
      </c>
      <c r="DH275">
        <v>1</v>
      </c>
      <c r="DI275">
        <v>1</v>
      </c>
      <c r="DJ275">
        <v>1</v>
      </c>
      <c r="DK275">
        <v>1</v>
      </c>
      <c r="DL275">
        <v>1</v>
      </c>
      <c r="DM275">
        <v>1</v>
      </c>
      <c r="DN275">
        <v>1</v>
      </c>
      <c r="DO275">
        <v>1</v>
      </c>
      <c r="DP275">
        <v>1</v>
      </c>
      <c r="DQ275">
        <v>1</v>
      </c>
      <c r="DR275">
        <v>1</v>
      </c>
      <c r="DS275">
        <v>1</v>
      </c>
      <c r="DT275">
        <v>1</v>
      </c>
      <c r="DU275">
        <v>1</v>
      </c>
      <c r="DV275">
        <v>1</v>
      </c>
      <c r="DW275">
        <v>1</v>
      </c>
      <c r="DX275">
        <v>1</v>
      </c>
      <c r="DY275">
        <v>1</v>
      </c>
      <c r="DZ275">
        <v>1</v>
      </c>
      <c r="EA275">
        <v>1</v>
      </c>
      <c r="EB275">
        <v>1</v>
      </c>
      <c r="EC275">
        <v>1</v>
      </c>
      <c r="ED275">
        <v>1</v>
      </c>
      <c r="EE275">
        <v>1</v>
      </c>
      <c r="EF275">
        <v>1</v>
      </c>
    </row>
    <row r="276" spans="1:197" x14ac:dyDescent="0.25">
      <c r="A276" t="s">
        <v>63</v>
      </c>
      <c r="B276" t="s">
        <v>54</v>
      </c>
      <c r="C276" s="3">
        <v>39.909999999999997</v>
      </c>
      <c r="D276" s="3">
        <v>116.4</v>
      </c>
      <c r="E276" t="s">
        <v>12</v>
      </c>
      <c r="F276" t="s">
        <v>77</v>
      </c>
      <c r="G276" t="s">
        <v>76</v>
      </c>
      <c r="I276" t="s">
        <v>15</v>
      </c>
      <c r="J276" t="s">
        <v>15</v>
      </c>
      <c r="K276" t="s">
        <v>15</v>
      </c>
      <c r="L276" t="s">
        <v>84</v>
      </c>
      <c r="M276" t="s">
        <v>1133</v>
      </c>
      <c r="O276">
        <v>123.45</v>
      </c>
      <c r="P276">
        <v>71.59</v>
      </c>
      <c r="GF276">
        <v>1</v>
      </c>
      <c r="GI276">
        <v>1</v>
      </c>
      <c r="GL276">
        <v>1</v>
      </c>
      <c r="GO276">
        <v>1</v>
      </c>
    </row>
    <row r="277" spans="1:197" x14ac:dyDescent="0.25">
      <c r="A277" t="s">
        <v>63</v>
      </c>
      <c r="B277" t="s">
        <v>54</v>
      </c>
      <c r="C277" s="3">
        <f t="shared" ref="C277:C288" si="2">40+39/60</f>
        <v>40.65</v>
      </c>
      <c r="D277" s="3">
        <f t="shared" ref="D277:D288" si="3">117+7/60</f>
        <v>117.11666666666666</v>
      </c>
      <c r="E277" t="s">
        <v>15</v>
      </c>
      <c r="F277" t="s">
        <v>21</v>
      </c>
      <c r="G277" t="s">
        <v>60</v>
      </c>
      <c r="I277" t="s">
        <v>12</v>
      </c>
      <c r="J277" t="s">
        <v>12</v>
      </c>
      <c r="K277" t="s">
        <v>12</v>
      </c>
      <c r="L277" t="s">
        <v>79</v>
      </c>
      <c r="M277" t="s">
        <v>1134</v>
      </c>
      <c r="O277">
        <v>40.799999999999997</v>
      </c>
      <c r="EI277">
        <v>1</v>
      </c>
      <c r="EJ277">
        <v>1</v>
      </c>
      <c r="EK277">
        <v>1</v>
      </c>
    </row>
    <row r="278" spans="1:197" x14ac:dyDescent="0.25">
      <c r="A278" t="s">
        <v>63</v>
      </c>
      <c r="B278" t="s">
        <v>54</v>
      </c>
      <c r="C278" s="3">
        <f t="shared" si="2"/>
        <v>40.65</v>
      </c>
      <c r="D278" s="3">
        <f t="shared" si="3"/>
        <v>117.11666666666666</v>
      </c>
      <c r="E278" t="s">
        <v>15</v>
      </c>
      <c r="F278" t="s">
        <v>21</v>
      </c>
      <c r="G278" t="s">
        <v>60</v>
      </c>
      <c r="I278" t="s">
        <v>12</v>
      </c>
      <c r="J278" t="s">
        <v>12</v>
      </c>
      <c r="K278" t="s">
        <v>12</v>
      </c>
      <c r="L278" t="s">
        <v>79</v>
      </c>
      <c r="M278" t="s">
        <v>1134</v>
      </c>
      <c r="O278">
        <v>64.7</v>
      </c>
      <c r="EL278">
        <v>1</v>
      </c>
      <c r="EM278">
        <v>1</v>
      </c>
      <c r="EN278">
        <v>1</v>
      </c>
    </row>
    <row r="279" spans="1:197" x14ac:dyDescent="0.25">
      <c r="A279" t="s">
        <v>63</v>
      </c>
      <c r="B279" t="s">
        <v>54</v>
      </c>
      <c r="C279" s="3">
        <f t="shared" si="2"/>
        <v>40.65</v>
      </c>
      <c r="D279" s="3">
        <f t="shared" si="3"/>
        <v>117.11666666666666</v>
      </c>
      <c r="E279" t="s">
        <v>15</v>
      </c>
      <c r="F279" t="s">
        <v>21</v>
      </c>
      <c r="G279" t="s">
        <v>60</v>
      </c>
      <c r="I279" t="s">
        <v>12</v>
      </c>
      <c r="J279" t="s">
        <v>12</v>
      </c>
      <c r="K279" t="s">
        <v>12</v>
      </c>
      <c r="L279" t="s">
        <v>79</v>
      </c>
      <c r="M279" t="s">
        <v>1134</v>
      </c>
      <c r="O279">
        <v>47.9</v>
      </c>
      <c r="EO279">
        <v>1</v>
      </c>
      <c r="EP279">
        <v>1</v>
      </c>
      <c r="EQ279">
        <v>1</v>
      </c>
    </row>
    <row r="280" spans="1:197" x14ac:dyDescent="0.25">
      <c r="A280" t="s">
        <v>63</v>
      </c>
      <c r="B280" t="s">
        <v>54</v>
      </c>
      <c r="C280" s="3">
        <f t="shared" si="2"/>
        <v>40.65</v>
      </c>
      <c r="D280" s="3">
        <f t="shared" si="3"/>
        <v>117.11666666666666</v>
      </c>
      <c r="E280" t="s">
        <v>15</v>
      </c>
      <c r="F280" t="s">
        <v>21</v>
      </c>
      <c r="G280" t="s">
        <v>60</v>
      </c>
      <c r="I280" t="s">
        <v>12</v>
      </c>
      <c r="J280" t="s">
        <v>12</v>
      </c>
      <c r="K280" t="s">
        <v>12</v>
      </c>
      <c r="L280" t="s">
        <v>79</v>
      </c>
      <c r="M280" t="s">
        <v>1134</v>
      </c>
      <c r="O280">
        <v>31.4</v>
      </c>
      <c r="EG280">
        <v>1</v>
      </c>
      <c r="EH280">
        <v>1</v>
      </c>
      <c r="ER280">
        <v>1</v>
      </c>
    </row>
    <row r="281" spans="1:197" x14ac:dyDescent="0.25">
      <c r="A281" t="s">
        <v>63</v>
      </c>
      <c r="B281" t="s">
        <v>54</v>
      </c>
      <c r="C281" s="3">
        <f t="shared" si="2"/>
        <v>40.65</v>
      </c>
      <c r="D281" s="3">
        <f t="shared" si="3"/>
        <v>117.11666666666666</v>
      </c>
      <c r="E281" t="s">
        <v>15</v>
      </c>
      <c r="F281" t="s">
        <v>21</v>
      </c>
      <c r="G281" t="s">
        <v>60</v>
      </c>
      <c r="I281" t="s">
        <v>12</v>
      </c>
      <c r="J281" t="s">
        <v>12</v>
      </c>
      <c r="K281" t="s">
        <v>12</v>
      </c>
      <c r="L281" t="s">
        <v>79</v>
      </c>
      <c r="M281" t="s">
        <v>1134</v>
      </c>
      <c r="O281">
        <v>101.2</v>
      </c>
      <c r="EU281">
        <v>1</v>
      </c>
      <c r="EV281">
        <v>1</v>
      </c>
      <c r="EW281">
        <v>1</v>
      </c>
    </row>
    <row r="282" spans="1:197" x14ac:dyDescent="0.25">
      <c r="A282" t="s">
        <v>63</v>
      </c>
      <c r="B282" t="s">
        <v>54</v>
      </c>
      <c r="C282" s="3">
        <f t="shared" si="2"/>
        <v>40.65</v>
      </c>
      <c r="D282" s="3">
        <f t="shared" si="3"/>
        <v>117.11666666666666</v>
      </c>
      <c r="E282" t="s">
        <v>15</v>
      </c>
      <c r="F282" t="s">
        <v>21</v>
      </c>
      <c r="G282" t="s">
        <v>60</v>
      </c>
      <c r="I282" t="s">
        <v>12</v>
      </c>
      <c r="J282" t="s">
        <v>12</v>
      </c>
      <c r="K282" t="s">
        <v>12</v>
      </c>
      <c r="L282" t="s">
        <v>79</v>
      </c>
      <c r="M282" t="s">
        <v>1134</v>
      </c>
      <c r="O282">
        <v>60.9</v>
      </c>
      <c r="EX282">
        <v>1</v>
      </c>
      <c r="EY282">
        <v>1</v>
      </c>
      <c r="EZ282">
        <v>1</v>
      </c>
    </row>
    <row r="283" spans="1:197" x14ac:dyDescent="0.25">
      <c r="A283" t="s">
        <v>63</v>
      </c>
      <c r="B283" t="s">
        <v>54</v>
      </c>
      <c r="C283" s="3">
        <f t="shared" si="2"/>
        <v>40.65</v>
      </c>
      <c r="D283" s="3">
        <f t="shared" si="3"/>
        <v>117.11666666666666</v>
      </c>
      <c r="E283" t="s">
        <v>15</v>
      </c>
      <c r="F283" t="s">
        <v>21</v>
      </c>
      <c r="G283" t="s">
        <v>60</v>
      </c>
      <c r="I283" t="s">
        <v>12</v>
      </c>
      <c r="J283" t="s">
        <v>12</v>
      </c>
      <c r="K283" t="s">
        <v>12</v>
      </c>
      <c r="L283" t="s">
        <v>79</v>
      </c>
      <c r="M283" t="s">
        <v>1134</v>
      </c>
      <c r="O283">
        <v>51.6</v>
      </c>
      <c r="FA283">
        <v>1</v>
      </c>
      <c r="FB283">
        <v>1</v>
      </c>
      <c r="FC283">
        <v>1</v>
      </c>
    </row>
    <row r="284" spans="1:197" x14ac:dyDescent="0.25">
      <c r="A284" t="s">
        <v>63</v>
      </c>
      <c r="B284" t="s">
        <v>54</v>
      </c>
      <c r="C284" s="3">
        <f t="shared" si="2"/>
        <v>40.65</v>
      </c>
      <c r="D284" s="3">
        <f t="shared" si="3"/>
        <v>117.11666666666666</v>
      </c>
      <c r="E284" t="s">
        <v>15</v>
      </c>
      <c r="F284" t="s">
        <v>21</v>
      </c>
      <c r="G284" t="s">
        <v>60</v>
      </c>
      <c r="I284" t="s">
        <v>12</v>
      </c>
      <c r="J284" t="s">
        <v>12</v>
      </c>
      <c r="K284" t="s">
        <v>12</v>
      </c>
      <c r="L284" t="s">
        <v>79</v>
      </c>
      <c r="M284" t="s">
        <v>1134</v>
      </c>
      <c r="O284">
        <v>44.7</v>
      </c>
      <c r="ES284">
        <v>1</v>
      </c>
      <c r="ET284">
        <v>1</v>
      </c>
      <c r="FD284">
        <v>1</v>
      </c>
    </row>
    <row r="285" spans="1:197" x14ac:dyDescent="0.25">
      <c r="A285" t="s">
        <v>63</v>
      </c>
      <c r="B285" t="s">
        <v>54</v>
      </c>
      <c r="C285" s="3">
        <f t="shared" si="2"/>
        <v>40.65</v>
      </c>
      <c r="D285" s="3">
        <f t="shared" si="3"/>
        <v>117.11666666666666</v>
      </c>
      <c r="E285" t="s">
        <v>15</v>
      </c>
      <c r="F285" t="s">
        <v>21</v>
      </c>
      <c r="G285" t="s">
        <v>60</v>
      </c>
      <c r="I285" t="s">
        <v>12</v>
      </c>
      <c r="J285" t="s">
        <v>12</v>
      </c>
      <c r="K285" t="s">
        <v>12</v>
      </c>
      <c r="L285" t="s">
        <v>79</v>
      </c>
      <c r="M285" t="s">
        <v>1134</v>
      </c>
      <c r="O285">
        <v>59.8</v>
      </c>
      <c r="FG285">
        <v>1</v>
      </c>
      <c r="FH285">
        <v>1</v>
      </c>
      <c r="FI285">
        <v>1</v>
      </c>
    </row>
    <row r="286" spans="1:197" x14ac:dyDescent="0.25">
      <c r="A286" t="s">
        <v>63</v>
      </c>
      <c r="B286" t="s">
        <v>54</v>
      </c>
      <c r="C286" s="3">
        <f t="shared" si="2"/>
        <v>40.65</v>
      </c>
      <c r="D286" s="3">
        <f t="shared" si="3"/>
        <v>117.11666666666666</v>
      </c>
      <c r="E286" t="s">
        <v>15</v>
      </c>
      <c r="F286" t="s">
        <v>21</v>
      </c>
      <c r="G286" t="s">
        <v>60</v>
      </c>
      <c r="I286" t="s">
        <v>12</v>
      </c>
      <c r="J286" t="s">
        <v>12</v>
      </c>
      <c r="K286" t="s">
        <v>12</v>
      </c>
      <c r="L286" t="s">
        <v>79</v>
      </c>
      <c r="M286" t="s">
        <v>1134</v>
      </c>
      <c r="O286">
        <v>58.5</v>
      </c>
      <c r="FJ286">
        <v>1</v>
      </c>
      <c r="FK286">
        <v>1</v>
      </c>
      <c r="FL286">
        <v>1</v>
      </c>
    </row>
    <row r="287" spans="1:197" x14ac:dyDescent="0.25">
      <c r="A287" t="s">
        <v>63</v>
      </c>
      <c r="B287" t="s">
        <v>54</v>
      </c>
      <c r="C287" s="3">
        <f t="shared" si="2"/>
        <v>40.65</v>
      </c>
      <c r="D287" s="3">
        <f t="shared" si="3"/>
        <v>117.11666666666666</v>
      </c>
      <c r="E287" t="s">
        <v>15</v>
      </c>
      <c r="F287" t="s">
        <v>21</v>
      </c>
      <c r="G287" t="s">
        <v>60</v>
      </c>
      <c r="I287" t="s">
        <v>12</v>
      </c>
      <c r="J287" t="s">
        <v>12</v>
      </c>
      <c r="K287" t="s">
        <v>12</v>
      </c>
      <c r="L287" t="s">
        <v>79</v>
      </c>
      <c r="M287" t="s">
        <v>1134</v>
      </c>
      <c r="O287">
        <v>45.1</v>
      </c>
      <c r="FM287">
        <v>1</v>
      </c>
      <c r="FN287">
        <v>1</v>
      </c>
      <c r="FO287">
        <v>1</v>
      </c>
    </row>
    <row r="288" spans="1:197" x14ac:dyDescent="0.25">
      <c r="A288" t="s">
        <v>63</v>
      </c>
      <c r="B288" t="s">
        <v>54</v>
      </c>
      <c r="C288" s="3">
        <f t="shared" si="2"/>
        <v>40.65</v>
      </c>
      <c r="D288" s="3">
        <f t="shared" si="3"/>
        <v>117.11666666666666</v>
      </c>
      <c r="E288" t="s">
        <v>15</v>
      </c>
      <c r="F288" t="s">
        <v>21</v>
      </c>
      <c r="G288" t="s">
        <v>60</v>
      </c>
      <c r="I288" t="s">
        <v>12</v>
      </c>
      <c r="J288" t="s">
        <v>12</v>
      </c>
      <c r="K288" t="s">
        <v>12</v>
      </c>
      <c r="L288" t="s">
        <v>79</v>
      </c>
      <c r="M288" t="s">
        <v>1134</v>
      </c>
      <c r="O288">
        <v>44.3</v>
      </c>
      <c r="FE288">
        <v>1</v>
      </c>
      <c r="FF288">
        <v>1</v>
      </c>
      <c r="FP288">
        <v>1</v>
      </c>
    </row>
    <row r="289" spans="1:172" x14ac:dyDescent="0.25">
      <c r="A289" t="s">
        <v>63</v>
      </c>
      <c r="B289" t="s">
        <v>54</v>
      </c>
      <c r="C289" s="3">
        <f t="shared" ref="C289:C300" si="4">39+56/60</f>
        <v>39.93333333333333</v>
      </c>
      <c r="D289" s="3">
        <f t="shared" ref="D289:D300" si="5">116+17/60</f>
        <v>116.28333333333333</v>
      </c>
      <c r="E289" t="s">
        <v>15</v>
      </c>
      <c r="F289" t="s">
        <v>77</v>
      </c>
      <c r="G289" t="s">
        <v>60</v>
      </c>
      <c r="I289" t="s">
        <v>12</v>
      </c>
      <c r="J289" t="s">
        <v>12</v>
      </c>
      <c r="K289" t="s">
        <v>12</v>
      </c>
      <c r="L289" t="s">
        <v>79</v>
      </c>
      <c r="M289" t="s">
        <v>1134</v>
      </c>
      <c r="O289">
        <v>70.599999999999994</v>
      </c>
      <c r="EI289">
        <v>1</v>
      </c>
      <c r="EJ289">
        <v>1</v>
      </c>
      <c r="EK289">
        <v>1</v>
      </c>
    </row>
    <row r="290" spans="1:172" x14ac:dyDescent="0.25">
      <c r="A290" t="s">
        <v>63</v>
      </c>
      <c r="B290" t="s">
        <v>54</v>
      </c>
      <c r="C290" s="3">
        <f t="shared" si="4"/>
        <v>39.93333333333333</v>
      </c>
      <c r="D290" s="3">
        <f t="shared" si="5"/>
        <v>116.28333333333333</v>
      </c>
      <c r="E290" t="s">
        <v>15</v>
      </c>
      <c r="F290" t="s">
        <v>77</v>
      </c>
      <c r="G290" t="s">
        <v>60</v>
      </c>
      <c r="I290" t="s">
        <v>12</v>
      </c>
      <c r="J290" t="s">
        <v>12</v>
      </c>
      <c r="K290" t="s">
        <v>12</v>
      </c>
      <c r="L290" t="s">
        <v>79</v>
      </c>
      <c r="M290" t="s">
        <v>1134</v>
      </c>
      <c r="O290">
        <v>84.5</v>
      </c>
      <c r="EL290">
        <v>1</v>
      </c>
      <c r="EM290">
        <v>1</v>
      </c>
      <c r="EN290">
        <v>1</v>
      </c>
    </row>
    <row r="291" spans="1:172" x14ac:dyDescent="0.25">
      <c r="A291" t="s">
        <v>63</v>
      </c>
      <c r="B291" t="s">
        <v>54</v>
      </c>
      <c r="C291" s="3">
        <f t="shared" si="4"/>
        <v>39.93333333333333</v>
      </c>
      <c r="D291" s="3">
        <f t="shared" si="5"/>
        <v>116.28333333333333</v>
      </c>
      <c r="E291" t="s">
        <v>15</v>
      </c>
      <c r="F291" t="s">
        <v>77</v>
      </c>
      <c r="G291" t="s">
        <v>60</v>
      </c>
      <c r="I291" t="s">
        <v>12</v>
      </c>
      <c r="J291" t="s">
        <v>12</v>
      </c>
      <c r="K291" t="s">
        <v>12</v>
      </c>
      <c r="L291" t="s">
        <v>79</v>
      </c>
      <c r="M291" t="s">
        <v>1134</v>
      </c>
      <c r="O291">
        <v>122.3</v>
      </c>
      <c r="EO291">
        <v>1</v>
      </c>
      <c r="EP291">
        <v>1</v>
      </c>
      <c r="EQ291">
        <v>1</v>
      </c>
    </row>
    <row r="292" spans="1:172" x14ac:dyDescent="0.25">
      <c r="A292" t="s">
        <v>63</v>
      </c>
      <c r="B292" t="s">
        <v>54</v>
      </c>
      <c r="C292" s="3">
        <f t="shared" si="4"/>
        <v>39.93333333333333</v>
      </c>
      <c r="D292" s="3">
        <f t="shared" si="5"/>
        <v>116.28333333333333</v>
      </c>
      <c r="E292" t="s">
        <v>15</v>
      </c>
      <c r="F292" t="s">
        <v>77</v>
      </c>
      <c r="G292" t="s">
        <v>60</v>
      </c>
      <c r="I292" t="s">
        <v>12</v>
      </c>
      <c r="J292" t="s">
        <v>12</v>
      </c>
      <c r="K292" t="s">
        <v>12</v>
      </c>
      <c r="L292" t="s">
        <v>79</v>
      </c>
      <c r="M292" t="s">
        <v>1134</v>
      </c>
      <c r="O292">
        <v>63.3</v>
      </c>
      <c r="EG292">
        <v>1</v>
      </c>
      <c r="EH292">
        <v>1</v>
      </c>
      <c r="ER292">
        <v>1</v>
      </c>
    </row>
    <row r="293" spans="1:172" x14ac:dyDescent="0.25">
      <c r="A293" t="s">
        <v>63</v>
      </c>
      <c r="B293" t="s">
        <v>54</v>
      </c>
      <c r="C293" s="3">
        <f t="shared" si="4"/>
        <v>39.93333333333333</v>
      </c>
      <c r="D293" s="3">
        <f t="shared" si="5"/>
        <v>116.28333333333333</v>
      </c>
      <c r="E293" t="s">
        <v>15</v>
      </c>
      <c r="F293" t="s">
        <v>77</v>
      </c>
      <c r="G293" t="s">
        <v>60</v>
      </c>
      <c r="I293" t="s">
        <v>12</v>
      </c>
      <c r="J293" t="s">
        <v>12</v>
      </c>
      <c r="K293" t="s">
        <v>12</v>
      </c>
      <c r="L293" t="s">
        <v>79</v>
      </c>
      <c r="M293" t="s">
        <v>1134</v>
      </c>
      <c r="O293">
        <v>99.7</v>
      </c>
      <c r="EU293">
        <v>1</v>
      </c>
      <c r="EV293">
        <v>1</v>
      </c>
      <c r="EW293">
        <v>1</v>
      </c>
    </row>
    <row r="294" spans="1:172" x14ac:dyDescent="0.25">
      <c r="A294" t="s">
        <v>63</v>
      </c>
      <c r="B294" t="s">
        <v>54</v>
      </c>
      <c r="C294" s="3">
        <f t="shared" si="4"/>
        <v>39.93333333333333</v>
      </c>
      <c r="D294" s="3">
        <f t="shared" si="5"/>
        <v>116.28333333333333</v>
      </c>
      <c r="E294" t="s">
        <v>15</v>
      </c>
      <c r="F294" t="s">
        <v>77</v>
      </c>
      <c r="G294" t="s">
        <v>60</v>
      </c>
      <c r="I294" t="s">
        <v>12</v>
      </c>
      <c r="J294" t="s">
        <v>12</v>
      </c>
      <c r="K294" t="s">
        <v>12</v>
      </c>
      <c r="L294" t="s">
        <v>79</v>
      </c>
      <c r="M294" t="s">
        <v>1134</v>
      </c>
      <c r="O294">
        <v>81.3</v>
      </c>
      <c r="EX294">
        <v>1</v>
      </c>
      <c r="EY294">
        <v>1</v>
      </c>
      <c r="EZ294">
        <v>1</v>
      </c>
    </row>
    <row r="295" spans="1:172" x14ac:dyDescent="0.25">
      <c r="A295" t="s">
        <v>63</v>
      </c>
      <c r="B295" t="s">
        <v>54</v>
      </c>
      <c r="C295" s="3">
        <f t="shared" si="4"/>
        <v>39.93333333333333</v>
      </c>
      <c r="D295" s="3">
        <f t="shared" si="5"/>
        <v>116.28333333333333</v>
      </c>
      <c r="E295" t="s">
        <v>15</v>
      </c>
      <c r="F295" t="s">
        <v>77</v>
      </c>
      <c r="G295" t="s">
        <v>60</v>
      </c>
      <c r="I295" t="s">
        <v>12</v>
      </c>
      <c r="J295" t="s">
        <v>12</v>
      </c>
      <c r="K295" t="s">
        <v>12</v>
      </c>
      <c r="L295" t="s">
        <v>79</v>
      </c>
      <c r="M295" t="s">
        <v>1134</v>
      </c>
      <c r="O295">
        <v>81.099999999999994</v>
      </c>
      <c r="FA295">
        <v>1</v>
      </c>
      <c r="FB295">
        <v>1</v>
      </c>
      <c r="FC295">
        <v>1</v>
      </c>
    </row>
    <row r="296" spans="1:172" x14ac:dyDescent="0.25">
      <c r="A296" t="s">
        <v>63</v>
      </c>
      <c r="B296" t="s">
        <v>54</v>
      </c>
      <c r="C296" s="3">
        <f t="shared" si="4"/>
        <v>39.93333333333333</v>
      </c>
      <c r="D296" s="3">
        <f t="shared" si="5"/>
        <v>116.28333333333333</v>
      </c>
      <c r="E296" t="s">
        <v>15</v>
      </c>
      <c r="F296" t="s">
        <v>77</v>
      </c>
      <c r="G296" t="s">
        <v>60</v>
      </c>
      <c r="I296" t="s">
        <v>12</v>
      </c>
      <c r="J296" t="s">
        <v>12</v>
      </c>
      <c r="K296" t="s">
        <v>12</v>
      </c>
      <c r="L296" t="s">
        <v>79</v>
      </c>
      <c r="M296" t="s">
        <v>1134</v>
      </c>
      <c r="O296">
        <v>112</v>
      </c>
      <c r="ES296">
        <v>1</v>
      </c>
      <c r="ET296">
        <v>1</v>
      </c>
      <c r="FD296">
        <v>1</v>
      </c>
    </row>
    <row r="297" spans="1:172" x14ac:dyDescent="0.25">
      <c r="A297" t="s">
        <v>63</v>
      </c>
      <c r="B297" t="s">
        <v>54</v>
      </c>
      <c r="C297" s="3">
        <f t="shared" si="4"/>
        <v>39.93333333333333</v>
      </c>
      <c r="D297" s="3">
        <f t="shared" si="5"/>
        <v>116.28333333333333</v>
      </c>
      <c r="E297" t="s">
        <v>15</v>
      </c>
      <c r="F297" t="s">
        <v>77</v>
      </c>
      <c r="G297" t="s">
        <v>60</v>
      </c>
      <c r="I297" t="s">
        <v>12</v>
      </c>
      <c r="J297" t="s">
        <v>12</v>
      </c>
      <c r="K297" t="s">
        <v>12</v>
      </c>
      <c r="L297" t="s">
        <v>79</v>
      </c>
      <c r="M297" t="s">
        <v>1134</v>
      </c>
      <c r="O297">
        <v>74.2</v>
      </c>
      <c r="FG297">
        <v>1</v>
      </c>
      <c r="FH297">
        <v>1</v>
      </c>
      <c r="FI297">
        <v>1</v>
      </c>
    </row>
    <row r="298" spans="1:172" x14ac:dyDescent="0.25">
      <c r="A298" t="s">
        <v>63</v>
      </c>
      <c r="B298" t="s">
        <v>54</v>
      </c>
      <c r="C298" s="3">
        <f t="shared" si="4"/>
        <v>39.93333333333333</v>
      </c>
      <c r="D298" s="3">
        <f t="shared" si="5"/>
        <v>116.28333333333333</v>
      </c>
      <c r="E298" t="s">
        <v>15</v>
      </c>
      <c r="F298" t="s">
        <v>77</v>
      </c>
      <c r="G298" t="s">
        <v>60</v>
      </c>
      <c r="I298" t="s">
        <v>12</v>
      </c>
      <c r="J298" t="s">
        <v>12</v>
      </c>
      <c r="K298" t="s">
        <v>12</v>
      </c>
      <c r="L298" t="s">
        <v>79</v>
      </c>
      <c r="M298" t="s">
        <v>1134</v>
      </c>
      <c r="O298">
        <v>91.7</v>
      </c>
      <c r="FJ298">
        <v>1</v>
      </c>
      <c r="FK298">
        <v>1</v>
      </c>
      <c r="FL298">
        <v>1</v>
      </c>
    </row>
    <row r="299" spans="1:172" x14ac:dyDescent="0.25">
      <c r="A299" t="s">
        <v>63</v>
      </c>
      <c r="B299" t="s">
        <v>54</v>
      </c>
      <c r="C299" s="3">
        <f t="shared" si="4"/>
        <v>39.93333333333333</v>
      </c>
      <c r="D299" s="3">
        <f t="shared" si="5"/>
        <v>116.28333333333333</v>
      </c>
      <c r="E299" t="s">
        <v>15</v>
      </c>
      <c r="F299" t="s">
        <v>77</v>
      </c>
      <c r="G299" t="s">
        <v>60</v>
      </c>
      <c r="I299" t="s">
        <v>12</v>
      </c>
      <c r="J299" t="s">
        <v>12</v>
      </c>
      <c r="K299" t="s">
        <v>12</v>
      </c>
      <c r="L299" t="s">
        <v>79</v>
      </c>
      <c r="M299" t="s">
        <v>1134</v>
      </c>
      <c r="O299">
        <v>74.2</v>
      </c>
      <c r="FM299">
        <v>1</v>
      </c>
      <c r="FN299">
        <v>1</v>
      </c>
      <c r="FO299">
        <v>1</v>
      </c>
    </row>
    <row r="300" spans="1:172" x14ac:dyDescent="0.25">
      <c r="A300" t="s">
        <v>63</v>
      </c>
      <c r="B300" t="s">
        <v>54</v>
      </c>
      <c r="C300" s="3">
        <f t="shared" si="4"/>
        <v>39.93333333333333</v>
      </c>
      <c r="D300" s="3">
        <f t="shared" si="5"/>
        <v>116.28333333333333</v>
      </c>
      <c r="E300" t="s">
        <v>15</v>
      </c>
      <c r="F300" t="s">
        <v>77</v>
      </c>
      <c r="G300" t="s">
        <v>60</v>
      </c>
      <c r="I300" t="s">
        <v>12</v>
      </c>
      <c r="J300" t="s">
        <v>12</v>
      </c>
      <c r="K300" t="s">
        <v>12</v>
      </c>
      <c r="L300" t="s">
        <v>79</v>
      </c>
      <c r="M300" t="s">
        <v>1134</v>
      </c>
      <c r="O300">
        <v>98</v>
      </c>
      <c r="FE300">
        <v>1</v>
      </c>
      <c r="FF300">
        <v>1</v>
      </c>
      <c r="FP300">
        <v>1</v>
      </c>
    </row>
    <row r="301" spans="1:172" x14ac:dyDescent="0.25">
      <c r="A301" t="s">
        <v>63</v>
      </c>
      <c r="B301" t="s">
        <v>54</v>
      </c>
      <c r="C301" s="3">
        <f>40+21/60</f>
        <v>40.35</v>
      </c>
      <c r="D301" s="3">
        <f>116+18/60</f>
        <v>116.3</v>
      </c>
      <c r="E301" t="s">
        <v>12</v>
      </c>
      <c r="F301" t="s">
        <v>8</v>
      </c>
      <c r="G301" t="s">
        <v>30</v>
      </c>
      <c r="I301" t="s">
        <v>15</v>
      </c>
      <c r="J301" t="s">
        <v>15</v>
      </c>
      <c r="K301" t="s">
        <v>12</v>
      </c>
      <c r="L301" t="s">
        <v>71</v>
      </c>
      <c r="M301" t="s">
        <v>1136</v>
      </c>
      <c r="N301" t="s">
        <v>72</v>
      </c>
      <c r="O301">
        <v>60.9</v>
      </c>
      <c r="BY301">
        <v>1</v>
      </c>
    </row>
    <row r="302" spans="1:172" x14ac:dyDescent="0.25">
      <c r="A302" t="s">
        <v>63</v>
      </c>
      <c r="B302" t="s">
        <v>54</v>
      </c>
      <c r="C302" s="3">
        <f>40+21/60</f>
        <v>40.35</v>
      </c>
      <c r="D302" s="3">
        <f>116+18/60</f>
        <v>116.3</v>
      </c>
      <c r="E302" t="s">
        <v>12</v>
      </c>
      <c r="F302" t="s">
        <v>8</v>
      </c>
      <c r="G302" t="s">
        <v>30</v>
      </c>
      <c r="I302" t="s">
        <v>15</v>
      </c>
      <c r="J302" t="s">
        <v>15</v>
      </c>
      <c r="K302" t="s">
        <v>12</v>
      </c>
      <c r="L302" t="s">
        <v>71</v>
      </c>
      <c r="M302" t="s">
        <v>1136</v>
      </c>
      <c r="N302" t="s">
        <v>72</v>
      </c>
      <c r="O302">
        <v>140</v>
      </c>
      <c r="CB302">
        <v>1</v>
      </c>
    </row>
    <row r="303" spans="1:172" x14ac:dyDescent="0.25">
      <c r="A303" t="s">
        <v>63</v>
      </c>
      <c r="B303" t="s">
        <v>54</v>
      </c>
      <c r="C303" s="3">
        <f>40+21/60</f>
        <v>40.35</v>
      </c>
      <c r="D303" s="3">
        <f>116+18/60</f>
        <v>116.3</v>
      </c>
      <c r="E303" t="s">
        <v>12</v>
      </c>
      <c r="F303" t="s">
        <v>8</v>
      </c>
      <c r="G303" t="s">
        <v>30</v>
      </c>
      <c r="I303" t="s">
        <v>15</v>
      </c>
      <c r="J303" t="s">
        <v>15</v>
      </c>
      <c r="K303" t="s">
        <v>12</v>
      </c>
      <c r="L303" t="s">
        <v>71</v>
      </c>
      <c r="M303" t="s">
        <v>1136</v>
      </c>
      <c r="N303" t="s">
        <v>72</v>
      </c>
      <c r="O303">
        <v>99</v>
      </c>
      <c r="CE303">
        <v>1</v>
      </c>
    </row>
    <row r="304" spans="1:172" x14ac:dyDescent="0.25">
      <c r="A304" t="s">
        <v>63</v>
      </c>
      <c r="B304" t="s">
        <v>54</v>
      </c>
      <c r="C304" s="3">
        <f>40+21/60</f>
        <v>40.35</v>
      </c>
      <c r="D304" s="3">
        <f>116+18/60</f>
        <v>116.3</v>
      </c>
      <c r="E304" t="s">
        <v>12</v>
      </c>
      <c r="F304" t="s">
        <v>8</v>
      </c>
      <c r="G304" t="s">
        <v>30</v>
      </c>
      <c r="I304" t="s">
        <v>15</v>
      </c>
      <c r="J304" t="s">
        <v>15</v>
      </c>
      <c r="K304" t="s">
        <v>12</v>
      </c>
      <c r="L304" t="s">
        <v>71</v>
      </c>
      <c r="M304" t="s">
        <v>1136</v>
      </c>
      <c r="N304" t="s">
        <v>72</v>
      </c>
      <c r="O304">
        <v>106</v>
      </c>
      <c r="CH304">
        <v>1</v>
      </c>
    </row>
    <row r="305" spans="1:198" x14ac:dyDescent="0.25">
      <c r="A305" t="s">
        <v>63</v>
      </c>
      <c r="B305" t="s">
        <v>54</v>
      </c>
      <c r="C305" s="3">
        <f>40+21/60</f>
        <v>40.35</v>
      </c>
      <c r="D305" s="3">
        <f>116+18/60</f>
        <v>116.3</v>
      </c>
      <c r="E305" t="s">
        <v>15</v>
      </c>
      <c r="F305" t="s">
        <v>21</v>
      </c>
      <c r="G305" t="s">
        <v>60</v>
      </c>
      <c r="I305" t="s">
        <v>15</v>
      </c>
      <c r="J305" t="s">
        <v>12</v>
      </c>
      <c r="K305" t="s">
        <v>12</v>
      </c>
      <c r="L305" t="s">
        <v>65</v>
      </c>
      <c r="M305" t="s">
        <v>1137</v>
      </c>
      <c r="O305">
        <v>76.8</v>
      </c>
      <c r="EL305">
        <v>1</v>
      </c>
      <c r="EM305">
        <v>1</v>
      </c>
    </row>
    <row r="306" spans="1:198" x14ac:dyDescent="0.25">
      <c r="A306" t="s">
        <v>717</v>
      </c>
      <c r="B306" t="s">
        <v>54</v>
      </c>
      <c r="C306" s="3">
        <v>43.9</v>
      </c>
      <c r="D306" s="3">
        <v>125.3</v>
      </c>
      <c r="E306" t="s">
        <v>15</v>
      </c>
      <c r="F306" t="s">
        <v>77</v>
      </c>
      <c r="G306" t="s">
        <v>716</v>
      </c>
      <c r="I306" t="s">
        <v>15</v>
      </c>
      <c r="J306" t="s">
        <v>12</v>
      </c>
      <c r="K306" t="s">
        <v>12</v>
      </c>
      <c r="L306" t="s">
        <v>761</v>
      </c>
      <c r="M306" t="s">
        <v>819</v>
      </c>
      <c r="O306">
        <v>140.5</v>
      </c>
      <c r="P306">
        <v>28.6</v>
      </c>
      <c r="DI306">
        <v>1</v>
      </c>
    </row>
    <row r="307" spans="1:198" x14ac:dyDescent="0.25">
      <c r="A307" t="s">
        <v>717</v>
      </c>
      <c r="B307" t="s">
        <v>54</v>
      </c>
      <c r="C307" s="3">
        <v>43.9</v>
      </c>
      <c r="D307" s="3">
        <v>125.3</v>
      </c>
      <c r="E307" t="s">
        <v>15</v>
      </c>
      <c r="F307" t="s">
        <v>77</v>
      </c>
      <c r="G307" t="s">
        <v>716</v>
      </c>
      <c r="I307" t="s">
        <v>15</v>
      </c>
      <c r="J307" t="s">
        <v>12</v>
      </c>
      <c r="K307" t="s">
        <v>12</v>
      </c>
      <c r="L307" t="s">
        <v>761</v>
      </c>
      <c r="M307" t="s">
        <v>819</v>
      </c>
      <c r="O307">
        <v>59.6</v>
      </c>
      <c r="P307">
        <v>21.9</v>
      </c>
      <c r="DN307">
        <v>1</v>
      </c>
      <c r="DO307">
        <v>1</v>
      </c>
    </row>
    <row r="308" spans="1:198" x14ac:dyDescent="0.25">
      <c r="A308" t="s">
        <v>82</v>
      </c>
      <c r="B308" t="s">
        <v>54</v>
      </c>
      <c r="C308" s="3">
        <v>40.950000000000003</v>
      </c>
      <c r="D308" s="3">
        <v>117.95</v>
      </c>
      <c r="E308" t="s">
        <v>12</v>
      </c>
      <c r="F308" t="s">
        <v>77</v>
      </c>
      <c r="G308" t="s">
        <v>76</v>
      </c>
      <c r="I308" t="s">
        <v>15</v>
      </c>
      <c r="J308" t="s">
        <v>12</v>
      </c>
      <c r="K308" t="s">
        <v>12</v>
      </c>
      <c r="L308" t="s">
        <v>361</v>
      </c>
      <c r="M308" t="s">
        <v>1021</v>
      </c>
      <c r="O308">
        <v>105.4</v>
      </c>
      <c r="P308">
        <v>53.7</v>
      </c>
      <c r="GF308">
        <v>1</v>
      </c>
    </row>
    <row r="309" spans="1:198" x14ac:dyDescent="0.25">
      <c r="A309" t="s">
        <v>82</v>
      </c>
      <c r="B309" t="s">
        <v>54</v>
      </c>
      <c r="C309" s="3">
        <v>40.950000000000003</v>
      </c>
      <c r="D309" s="3">
        <v>117.95</v>
      </c>
      <c r="E309" t="s">
        <v>12</v>
      </c>
      <c r="F309" t="s">
        <v>77</v>
      </c>
      <c r="G309" t="s">
        <v>76</v>
      </c>
      <c r="I309" t="s">
        <v>15</v>
      </c>
      <c r="J309" t="s">
        <v>12</v>
      </c>
      <c r="K309" t="s">
        <v>12</v>
      </c>
      <c r="L309" t="s">
        <v>361</v>
      </c>
      <c r="M309" t="s">
        <v>1021</v>
      </c>
      <c r="O309">
        <v>67.8</v>
      </c>
      <c r="P309">
        <v>35.200000000000003</v>
      </c>
      <c r="GI309">
        <v>1</v>
      </c>
    </row>
    <row r="310" spans="1:198" x14ac:dyDescent="0.25">
      <c r="A310" t="s">
        <v>82</v>
      </c>
      <c r="B310" t="s">
        <v>54</v>
      </c>
      <c r="C310" s="3">
        <v>40.950000000000003</v>
      </c>
      <c r="D310" s="3">
        <v>117.95</v>
      </c>
      <c r="E310" t="s">
        <v>12</v>
      </c>
      <c r="F310" t="s">
        <v>77</v>
      </c>
      <c r="G310" t="s">
        <v>76</v>
      </c>
      <c r="I310" t="s">
        <v>15</v>
      </c>
      <c r="J310" t="s">
        <v>12</v>
      </c>
      <c r="K310" t="s">
        <v>12</v>
      </c>
      <c r="L310" t="s">
        <v>361</v>
      </c>
      <c r="M310" t="s">
        <v>1021</v>
      </c>
      <c r="O310">
        <v>74.400000000000006</v>
      </c>
      <c r="P310">
        <v>45.9</v>
      </c>
      <c r="GL310">
        <v>1</v>
      </c>
    </row>
    <row r="311" spans="1:198" x14ac:dyDescent="0.25">
      <c r="A311" t="s">
        <v>82</v>
      </c>
      <c r="B311" t="s">
        <v>54</v>
      </c>
      <c r="C311" s="3">
        <v>40.950000000000003</v>
      </c>
      <c r="D311" s="3">
        <v>117.95</v>
      </c>
      <c r="E311" t="s">
        <v>12</v>
      </c>
      <c r="F311" t="s">
        <v>77</v>
      </c>
      <c r="G311" t="s">
        <v>76</v>
      </c>
      <c r="I311" t="s">
        <v>15</v>
      </c>
      <c r="J311" t="s">
        <v>12</v>
      </c>
      <c r="K311" t="s">
        <v>12</v>
      </c>
      <c r="L311" t="s">
        <v>361</v>
      </c>
      <c r="M311" t="s">
        <v>1021</v>
      </c>
      <c r="O311">
        <v>123.3</v>
      </c>
      <c r="P311">
        <v>63.5</v>
      </c>
      <c r="GO311">
        <v>0.5</v>
      </c>
      <c r="GP311">
        <v>0.5</v>
      </c>
    </row>
    <row r="312" spans="1:198" x14ac:dyDescent="0.25">
      <c r="A312" t="s">
        <v>82</v>
      </c>
      <c r="B312" t="s">
        <v>54</v>
      </c>
      <c r="C312" s="3">
        <v>40.96</v>
      </c>
      <c r="D312" s="3">
        <v>117.95</v>
      </c>
      <c r="E312" t="s">
        <v>12</v>
      </c>
      <c r="F312" t="s">
        <v>77</v>
      </c>
      <c r="G312" t="s">
        <v>76</v>
      </c>
      <c r="I312" t="s">
        <v>15</v>
      </c>
      <c r="J312" t="s">
        <v>15</v>
      </c>
      <c r="K312" t="s">
        <v>15</v>
      </c>
      <c r="L312" t="s">
        <v>84</v>
      </c>
      <c r="M312" t="s">
        <v>1133</v>
      </c>
      <c r="O312">
        <v>92.41</v>
      </c>
      <c r="P312">
        <v>54.62</v>
      </c>
      <c r="GF312">
        <v>1</v>
      </c>
      <c r="GI312">
        <v>1</v>
      </c>
      <c r="GL312">
        <v>1</v>
      </c>
      <c r="GO312">
        <v>1</v>
      </c>
    </row>
    <row r="313" spans="1:198" x14ac:dyDescent="0.25">
      <c r="A313" t="s">
        <v>226</v>
      </c>
      <c r="B313" t="s">
        <v>54</v>
      </c>
      <c r="C313" s="3">
        <f>30+39/60+43/3600</f>
        <v>30.661944444444444</v>
      </c>
      <c r="D313" s="3">
        <f>104+56/3600</f>
        <v>104.01555555555555</v>
      </c>
      <c r="E313" t="s">
        <v>15</v>
      </c>
      <c r="F313" t="s">
        <v>77</v>
      </c>
      <c r="G313" t="s">
        <v>97</v>
      </c>
      <c r="H313">
        <v>40</v>
      </c>
      <c r="I313" t="s">
        <v>15</v>
      </c>
      <c r="J313" t="s">
        <v>15</v>
      </c>
      <c r="K313" t="s">
        <v>15</v>
      </c>
      <c r="L313" t="s">
        <v>225</v>
      </c>
      <c r="M313" t="s">
        <v>1070</v>
      </c>
      <c r="O313">
        <v>133.19999999999999</v>
      </c>
      <c r="P313">
        <v>55.5</v>
      </c>
      <c r="GF313">
        <v>0.5</v>
      </c>
      <c r="GG313">
        <v>0.5</v>
      </c>
    </row>
    <row r="314" spans="1:198" x14ac:dyDescent="0.25">
      <c r="A314" t="s">
        <v>226</v>
      </c>
      <c r="B314" t="s">
        <v>54</v>
      </c>
      <c r="C314" s="3">
        <f>30+39/60+43/3600</f>
        <v>30.661944444444444</v>
      </c>
      <c r="D314" s="3">
        <f>104+56/3600</f>
        <v>104.01555555555555</v>
      </c>
      <c r="E314" t="s">
        <v>15</v>
      </c>
      <c r="F314" t="s">
        <v>77</v>
      </c>
      <c r="G314" t="s">
        <v>97</v>
      </c>
      <c r="H314">
        <v>40</v>
      </c>
      <c r="I314" t="s">
        <v>15</v>
      </c>
      <c r="J314" t="s">
        <v>15</v>
      </c>
      <c r="K314" t="s">
        <v>15</v>
      </c>
      <c r="L314" t="s">
        <v>225</v>
      </c>
      <c r="M314" t="s">
        <v>1070</v>
      </c>
      <c r="O314">
        <v>113.5</v>
      </c>
      <c r="P314">
        <v>39.299999999999997</v>
      </c>
      <c r="GH314">
        <v>1</v>
      </c>
    </row>
    <row r="315" spans="1:198" x14ac:dyDescent="0.25">
      <c r="A315" t="s">
        <v>226</v>
      </c>
      <c r="B315" t="s">
        <v>54</v>
      </c>
      <c r="C315" s="3">
        <f>30+39/60+43/3600</f>
        <v>30.661944444444444</v>
      </c>
      <c r="D315" s="3">
        <f>104+56/3600</f>
        <v>104.01555555555555</v>
      </c>
      <c r="E315" t="s">
        <v>15</v>
      </c>
      <c r="F315" t="s">
        <v>77</v>
      </c>
      <c r="G315" t="s">
        <v>97</v>
      </c>
      <c r="H315">
        <v>40</v>
      </c>
      <c r="I315" t="s">
        <v>15</v>
      </c>
      <c r="J315" t="s">
        <v>15</v>
      </c>
      <c r="K315" t="s">
        <v>15</v>
      </c>
      <c r="L315" t="s">
        <v>225</v>
      </c>
      <c r="M315" t="s">
        <v>1070</v>
      </c>
      <c r="O315">
        <v>188</v>
      </c>
      <c r="P315">
        <v>106.9</v>
      </c>
      <c r="GM315">
        <v>1</v>
      </c>
    </row>
    <row r="316" spans="1:198" x14ac:dyDescent="0.25">
      <c r="A316" t="s">
        <v>226</v>
      </c>
      <c r="B316" t="s">
        <v>54</v>
      </c>
      <c r="C316" s="3">
        <f>30+39/60+43/3600</f>
        <v>30.661944444444444</v>
      </c>
      <c r="D316" s="3">
        <f>104+56/3600</f>
        <v>104.01555555555555</v>
      </c>
      <c r="E316" t="s">
        <v>15</v>
      </c>
      <c r="F316" t="s">
        <v>77</v>
      </c>
      <c r="G316" t="s">
        <v>97</v>
      </c>
      <c r="H316">
        <v>40</v>
      </c>
      <c r="I316" t="s">
        <v>15</v>
      </c>
      <c r="J316" t="s">
        <v>15</v>
      </c>
      <c r="K316" t="s">
        <v>15</v>
      </c>
      <c r="L316" t="s">
        <v>225</v>
      </c>
      <c r="M316" t="s">
        <v>1070</v>
      </c>
      <c r="O316">
        <v>225.5</v>
      </c>
      <c r="P316">
        <v>73.2</v>
      </c>
      <c r="GO316">
        <v>1</v>
      </c>
    </row>
    <row r="317" spans="1:198" x14ac:dyDescent="0.25">
      <c r="A317" t="s">
        <v>94</v>
      </c>
      <c r="B317" t="s">
        <v>54</v>
      </c>
      <c r="C317" s="3">
        <v>29.5</v>
      </c>
      <c r="D317" s="3">
        <v>106.5</v>
      </c>
      <c r="E317" t="s">
        <v>15</v>
      </c>
      <c r="F317" t="s">
        <v>77</v>
      </c>
      <c r="G317" t="s">
        <v>716</v>
      </c>
      <c r="I317" t="s">
        <v>15</v>
      </c>
      <c r="J317" t="s">
        <v>12</v>
      </c>
      <c r="K317" t="s">
        <v>12</v>
      </c>
      <c r="L317" t="s">
        <v>761</v>
      </c>
      <c r="M317" t="s">
        <v>819</v>
      </c>
      <c r="O317">
        <v>311.8</v>
      </c>
      <c r="P317">
        <v>114.1</v>
      </c>
      <c r="DI317">
        <v>1</v>
      </c>
    </row>
    <row r="318" spans="1:198" x14ac:dyDescent="0.25">
      <c r="A318" t="s">
        <v>94</v>
      </c>
      <c r="B318" t="s">
        <v>54</v>
      </c>
      <c r="C318" s="3">
        <v>29.5</v>
      </c>
      <c r="D318" s="3">
        <v>106.5</v>
      </c>
      <c r="E318" t="s">
        <v>15</v>
      </c>
      <c r="F318" t="s">
        <v>77</v>
      </c>
      <c r="G318" t="s">
        <v>716</v>
      </c>
      <c r="I318" t="s">
        <v>15</v>
      </c>
      <c r="J318" t="s">
        <v>12</v>
      </c>
      <c r="K318" t="s">
        <v>12</v>
      </c>
      <c r="L318" t="s">
        <v>761</v>
      </c>
      <c r="M318" t="s">
        <v>819</v>
      </c>
      <c r="O318">
        <v>116.3</v>
      </c>
      <c r="P318">
        <v>38.1</v>
      </c>
      <c r="DN318">
        <v>1</v>
      </c>
      <c r="DO318">
        <v>1</v>
      </c>
    </row>
    <row r="319" spans="1:198" x14ac:dyDescent="0.25">
      <c r="A319" t="s">
        <v>94</v>
      </c>
      <c r="B319" t="s">
        <v>54</v>
      </c>
      <c r="C319" s="3">
        <f>29+50/60</f>
        <v>29.833333333333332</v>
      </c>
      <c r="D319" s="3">
        <f>106+25/60</f>
        <v>106.41666666666667</v>
      </c>
      <c r="E319" t="s">
        <v>15</v>
      </c>
      <c r="F319" t="s">
        <v>20</v>
      </c>
      <c r="G319" t="s">
        <v>97</v>
      </c>
      <c r="H319">
        <v>40</v>
      </c>
      <c r="I319" t="s">
        <v>12</v>
      </c>
      <c r="J319" t="s">
        <v>15</v>
      </c>
      <c r="K319" t="s">
        <v>15</v>
      </c>
      <c r="L319" t="s">
        <v>582</v>
      </c>
      <c r="M319" t="s">
        <v>891</v>
      </c>
      <c r="O319">
        <v>126.1</v>
      </c>
      <c r="P319">
        <v>43.4</v>
      </c>
      <c r="EG319">
        <v>0.25</v>
      </c>
      <c r="EH319">
        <v>1</v>
      </c>
      <c r="EI319">
        <v>1</v>
      </c>
      <c r="EJ319">
        <v>1</v>
      </c>
      <c r="EK319">
        <v>1</v>
      </c>
      <c r="EL319">
        <v>1</v>
      </c>
      <c r="EM319">
        <v>1</v>
      </c>
      <c r="EN319">
        <v>1</v>
      </c>
      <c r="EO319">
        <v>1</v>
      </c>
      <c r="EP319">
        <v>1</v>
      </c>
      <c r="EQ319">
        <v>1</v>
      </c>
      <c r="ER319">
        <v>1</v>
      </c>
      <c r="ES319">
        <v>1</v>
      </c>
      <c r="ET319">
        <v>1</v>
      </c>
      <c r="EU319">
        <v>1</v>
      </c>
      <c r="EV319">
        <v>1</v>
      </c>
      <c r="EW319">
        <v>0.25</v>
      </c>
    </row>
    <row r="320" spans="1:198" x14ac:dyDescent="0.25">
      <c r="A320" t="s">
        <v>94</v>
      </c>
      <c r="B320" t="s">
        <v>54</v>
      </c>
      <c r="C320" s="3">
        <f>29+29/60</f>
        <v>29.483333333333334</v>
      </c>
      <c r="D320" s="3">
        <f>106+29/60</f>
        <v>106.48333333333333</v>
      </c>
      <c r="E320" t="s">
        <v>15</v>
      </c>
      <c r="F320" t="s">
        <v>22</v>
      </c>
      <c r="G320" t="s">
        <v>97</v>
      </c>
      <c r="H320">
        <v>40</v>
      </c>
      <c r="I320" t="s">
        <v>12</v>
      </c>
      <c r="J320" t="s">
        <v>15</v>
      </c>
      <c r="K320" t="s">
        <v>15</v>
      </c>
      <c r="L320" t="s">
        <v>582</v>
      </c>
      <c r="M320" t="s">
        <v>891</v>
      </c>
      <c r="O320">
        <v>133.69999999999999</v>
      </c>
      <c r="P320">
        <v>44.1</v>
      </c>
      <c r="EG320">
        <v>0.25</v>
      </c>
      <c r="EH320">
        <v>1</v>
      </c>
      <c r="EI320">
        <v>1</v>
      </c>
      <c r="EJ320">
        <v>1</v>
      </c>
      <c r="EK320">
        <v>1</v>
      </c>
      <c r="EL320">
        <v>1</v>
      </c>
      <c r="EM320">
        <v>1</v>
      </c>
      <c r="EN320">
        <v>1</v>
      </c>
      <c r="EO320">
        <v>1</v>
      </c>
      <c r="EP320">
        <v>1</v>
      </c>
      <c r="EQ320">
        <v>1</v>
      </c>
      <c r="ER320">
        <v>1</v>
      </c>
      <c r="ES320">
        <v>1</v>
      </c>
      <c r="ET320">
        <v>1</v>
      </c>
      <c r="EU320">
        <v>1</v>
      </c>
      <c r="EV320">
        <v>1</v>
      </c>
      <c r="EW320">
        <v>0.25</v>
      </c>
    </row>
    <row r="321" spans="1:216" x14ac:dyDescent="0.25">
      <c r="A321" t="s">
        <v>94</v>
      </c>
      <c r="B321" t="s">
        <v>54</v>
      </c>
      <c r="C321" s="3">
        <f>29+34/60</f>
        <v>29.566666666666666</v>
      </c>
      <c r="D321" s="3">
        <f>106+34/60</f>
        <v>106.56666666666666</v>
      </c>
      <c r="E321" t="s">
        <v>15</v>
      </c>
      <c r="F321" t="s">
        <v>77</v>
      </c>
      <c r="G321" t="s">
        <v>97</v>
      </c>
      <c r="H321">
        <v>40</v>
      </c>
      <c r="I321" t="s">
        <v>12</v>
      </c>
      <c r="J321" t="s">
        <v>15</v>
      </c>
      <c r="K321" t="s">
        <v>15</v>
      </c>
      <c r="L321" t="s">
        <v>582</v>
      </c>
      <c r="M321" t="s">
        <v>891</v>
      </c>
      <c r="O321">
        <v>129</v>
      </c>
      <c r="P321">
        <v>42.6</v>
      </c>
      <c r="EG321">
        <v>0.25</v>
      </c>
      <c r="EH321">
        <v>1</v>
      </c>
      <c r="EI321">
        <v>1</v>
      </c>
      <c r="EJ321">
        <v>1</v>
      </c>
      <c r="EK321">
        <v>1</v>
      </c>
      <c r="EL321">
        <v>1</v>
      </c>
      <c r="EM321">
        <v>1</v>
      </c>
      <c r="EN321">
        <v>1</v>
      </c>
      <c r="EO321">
        <v>1</v>
      </c>
      <c r="EP321">
        <v>1</v>
      </c>
      <c r="EQ321">
        <v>1</v>
      </c>
      <c r="ER321">
        <v>1</v>
      </c>
      <c r="ES321">
        <v>1</v>
      </c>
      <c r="ET321">
        <v>1</v>
      </c>
      <c r="EU321">
        <v>1</v>
      </c>
      <c r="EV321">
        <v>1</v>
      </c>
      <c r="EW321">
        <v>0.25</v>
      </c>
    </row>
    <row r="322" spans="1:216" x14ac:dyDescent="0.25">
      <c r="A322" t="s">
        <v>94</v>
      </c>
      <c r="B322" t="s">
        <v>54</v>
      </c>
      <c r="C322" s="3">
        <v>29.57</v>
      </c>
      <c r="D322" s="3">
        <v>106.51</v>
      </c>
      <c r="E322" t="s">
        <v>12</v>
      </c>
      <c r="F322" t="s">
        <v>77</v>
      </c>
      <c r="G322" t="s">
        <v>95</v>
      </c>
      <c r="H322">
        <v>50</v>
      </c>
      <c r="I322" t="s">
        <v>12</v>
      </c>
      <c r="J322" t="s">
        <v>12</v>
      </c>
      <c r="K322" t="s">
        <v>15</v>
      </c>
      <c r="L322" t="s">
        <v>96</v>
      </c>
      <c r="M322" t="s">
        <v>1102</v>
      </c>
      <c r="O322">
        <f>(113+97)/2</f>
        <v>105</v>
      </c>
      <c r="P322">
        <f>(63+54)/2</f>
        <v>58.5</v>
      </c>
      <c r="Q322">
        <v>1</v>
      </c>
      <c r="R322">
        <v>1</v>
      </c>
      <c r="S322">
        <v>1</v>
      </c>
      <c r="T322">
        <v>1</v>
      </c>
      <c r="U322">
        <v>1</v>
      </c>
      <c r="V322">
        <v>1</v>
      </c>
      <c r="W322">
        <v>1</v>
      </c>
      <c r="X322">
        <v>1</v>
      </c>
      <c r="Y322">
        <v>1</v>
      </c>
      <c r="Z322">
        <v>1</v>
      </c>
      <c r="AA322">
        <v>1</v>
      </c>
      <c r="AB322">
        <v>1</v>
      </c>
    </row>
    <row r="323" spans="1:216" x14ac:dyDescent="0.25">
      <c r="A323" t="s">
        <v>94</v>
      </c>
      <c r="B323" t="s">
        <v>54</v>
      </c>
      <c r="C323" s="3">
        <v>29.57</v>
      </c>
      <c r="D323" s="3">
        <v>106.51</v>
      </c>
      <c r="E323" t="s">
        <v>12</v>
      </c>
      <c r="F323" t="s">
        <v>77</v>
      </c>
      <c r="G323" t="s">
        <v>95</v>
      </c>
      <c r="H323">
        <v>50</v>
      </c>
      <c r="I323" t="s">
        <v>12</v>
      </c>
      <c r="J323" t="s">
        <v>12</v>
      </c>
      <c r="K323" t="s">
        <v>15</v>
      </c>
      <c r="L323" t="s">
        <v>96</v>
      </c>
      <c r="M323" t="s">
        <v>1102</v>
      </c>
      <c r="O323">
        <f>(76+68)/2</f>
        <v>72</v>
      </c>
      <c r="P323">
        <f>(36+31)/2</f>
        <v>33.5</v>
      </c>
      <c r="AC323">
        <v>1</v>
      </c>
      <c r="AD323">
        <v>1</v>
      </c>
      <c r="AE323">
        <v>1</v>
      </c>
      <c r="AF323">
        <v>1</v>
      </c>
      <c r="AG323">
        <v>1</v>
      </c>
      <c r="AH323">
        <v>1</v>
      </c>
      <c r="AI323">
        <v>1</v>
      </c>
      <c r="AJ323">
        <v>1</v>
      </c>
      <c r="AK323">
        <v>1</v>
      </c>
      <c r="AL323">
        <v>1</v>
      </c>
      <c r="AM323">
        <v>1</v>
      </c>
      <c r="AN323">
        <v>1</v>
      </c>
    </row>
    <row r="324" spans="1:216" x14ac:dyDescent="0.25">
      <c r="A324" t="s">
        <v>94</v>
      </c>
      <c r="B324" t="s">
        <v>54</v>
      </c>
      <c r="C324" s="3">
        <f>AVERAGE(29+34/60,29+29/60)</f>
        <v>29.524999999999999</v>
      </c>
      <c r="D324" s="3">
        <f>AVERAGE(106+32/60,106+25/60)</f>
        <v>106.47499999999999</v>
      </c>
      <c r="E324" t="s">
        <v>15</v>
      </c>
      <c r="F324" t="s">
        <v>8</v>
      </c>
      <c r="G324" t="s">
        <v>106</v>
      </c>
      <c r="H324">
        <v>40</v>
      </c>
      <c r="I324" t="s">
        <v>15</v>
      </c>
      <c r="J324" t="s">
        <v>15</v>
      </c>
      <c r="K324" t="s">
        <v>15</v>
      </c>
      <c r="L324" t="s">
        <v>121</v>
      </c>
      <c r="M324" t="s">
        <v>1113</v>
      </c>
      <c r="O324">
        <v>129</v>
      </c>
      <c r="P324">
        <v>42.6</v>
      </c>
      <c r="EH324">
        <v>1</v>
      </c>
      <c r="EI324">
        <v>1</v>
      </c>
      <c r="EJ324">
        <v>1</v>
      </c>
      <c r="EK324">
        <v>1</v>
      </c>
      <c r="EL324">
        <v>1</v>
      </c>
      <c r="EM324">
        <v>1</v>
      </c>
      <c r="EN324">
        <v>1</v>
      </c>
      <c r="EO324">
        <v>1</v>
      </c>
      <c r="EP324">
        <v>1</v>
      </c>
      <c r="EQ324">
        <v>1</v>
      </c>
      <c r="ER324">
        <v>1</v>
      </c>
      <c r="ES324">
        <v>1</v>
      </c>
      <c r="ET324">
        <v>1</v>
      </c>
      <c r="EU324">
        <v>1</v>
      </c>
      <c r="EV324">
        <v>1</v>
      </c>
    </row>
    <row r="325" spans="1:216" x14ac:dyDescent="0.25">
      <c r="A325" t="s">
        <v>399</v>
      </c>
      <c r="B325" t="s">
        <v>54</v>
      </c>
      <c r="C325" s="3">
        <v>25.713100000000001</v>
      </c>
      <c r="D325" s="3">
        <v>118.1052</v>
      </c>
      <c r="E325" t="s">
        <v>15</v>
      </c>
      <c r="F325" t="s">
        <v>20</v>
      </c>
      <c r="G325" t="s">
        <v>76</v>
      </c>
      <c r="H325">
        <v>52</v>
      </c>
      <c r="I325" t="s">
        <v>15</v>
      </c>
      <c r="J325" t="s">
        <v>12</v>
      </c>
      <c r="K325" t="s">
        <v>12</v>
      </c>
      <c r="L325" t="s">
        <v>398</v>
      </c>
      <c r="M325" t="s">
        <v>998</v>
      </c>
      <c r="O325">
        <v>19.7</v>
      </c>
      <c r="P325">
        <v>10.97</v>
      </c>
      <c r="HA325">
        <v>0.5</v>
      </c>
    </row>
    <row r="326" spans="1:216" x14ac:dyDescent="0.25">
      <c r="A326" t="s">
        <v>399</v>
      </c>
      <c r="B326" t="s">
        <v>54</v>
      </c>
      <c r="C326" s="3">
        <v>25.713100000000001</v>
      </c>
      <c r="D326" s="3">
        <v>118.1052</v>
      </c>
      <c r="E326" t="s">
        <v>15</v>
      </c>
      <c r="F326" t="s">
        <v>20</v>
      </c>
      <c r="G326" t="s">
        <v>76</v>
      </c>
      <c r="H326">
        <v>52</v>
      </c>
      <c r="I326" t="s">
        <v>15</v>
      </c>
      <c r="J326" t="s">
        <v>12</v>
      </c>
      <c r="K326" t="s">
        <v>12</v>
      </c>
      <c r="L326" t="s">
        <v>398</v>
      </c>
      <c r="M326" t="s">
        <v>998</v>
      </c>
      <c r="O326">
        <v>14.41</v>
      </c>
      <c r="P326">
        <v>4.6100000000000003</v>
      </c>
      <c r="HH326">
        <v>0.5</v>
      </c>
    </row>
    <row r="327" spans="1:216" x14ac:dyDescent="0.25">
      <c r="A327" t="s">
        <v>89</v>
      </c>
      <c r="B327" t="s">
        <v>54</v>
      </c>
      <c r="C327" s="3">
        <f>39+49/60+20/3600</f>
        <v>39.822222222222223</v>
      </c>
      <c r="D327" s="3">
        <f>109+57/60+47.32/3600</f>
        <v>109.96314444444445</v>
      </c>
      <c r="E327" t="s">
        <v>15</v>
      </c>
      <c r="F327" t="s">
        <v>21</v>
      </c>
      <c r="G327" t="s">
        <v>76</v>
      </c>
      <c r="H327">
        <v>45</v>
      </c>
      <c r="I327" t="s">
        <v>12</v>
      </c>
      <c r="J327" t="s">
        <v>12</v>
      </c>
      <c r="K327" t="s">
        <v>12</v>
      </c>
      <c r="L327" t="s">
        <v>86</v>
      </c>
      <c r="M327" t="s">
        <v>1132</v>
      </c>
      <c r="O327">
        <v>70.3</v>
      </c>
      <c r="P327">
        <v>33.04</v>
      </c>
      <c r="EO327">
        <v>1</v>
      </c>
    </row>
    <row r="328" spans="1:216" x14ac:dyDescent="0.25">
      <c r="A328" t="s">
        <v>666</v>
      </c>
      <c r="B328" t="s">
        <v>54</v>
      </c>
      <c r="C328" s="3">
        <v>42.18</v>
      </c>
      <c r="D328" s="3">
        <v>116.49</v>
      </c>
      <c r="E328" t="s">
        <v>12</v>
      </c>
      <c r="F328" t="s">
        <v>19</v>
      </c>
      <c r="G328" t="s">
        <v>106</v>
      </c>
      <c r="H328">
        <v>40</v>
      </c>
      <c r="I328" t="s">
        <v>12</v>
      </c>
      <c r="J328" t="s">
        <v>15</v>
      </c>
      <c r="K328" t="s">
        <v>12</v>
      </c>
      <c r="L328" t="s">
        <v>665</v>
      </c>
      <c r="M328" t="s">
        <v>854</v>
      </c>
      <c r="O328">
        <v>64.099999999999994</v>
      </c>
      <c r="FG328">
        <v>0.5</v>
      </c>
      <c r="FH328">
        <v>1</v>
      </c>
    </row>
    <row r="329" spans="1:216" x14ac:dyDescent="0.25">
      <c r="A329" t="s">
        <v>585</v>
      </c>
      <c r="B329" t="s">
        <v>54</v>
      </c>
      <c r="C329" s="3">
        <f t="shared" ref="C329:C336" si="6">41+51/60</f>
        <v>41.85</v>
      </c>
      <c r="D329" s="3">
        <f t="shared" ref="D329:D336" si="7">123+47/60</f>
        <v>123.78333333333333</v>
      </c>
      <c r="E329" t="s">
        <v>12</v>
      </c>
      <c r="F329" t="s">
        <v>22</v>
      </c>
      <c r="G329" t="s">
        <v>97</v>
      </c>
      <c r="H329">
        <v>35</v>
      </c>
      <c r="I329" t="s">
        <v>12</v>
      </c>
      <c r="J329" t="s">
        <v>12</v>
      </c>
      <c r="K329" t="s">
        <v>15</v>
      </c>
      <c r="L329" t="s">
        <v>587</v>
      </c>
      <c r="M329" t="s">
        <v>890</v>
      </c>
      <c r="O329">
        <f>114/AVERAGE(114,101,40,99)*110</f>
        <v>141.69491525423729</v>
      </c>
      <c r="DU329">
        <v>0.5</v>
      </c>
      <c r="EG329">
        <v>0.5</v>
      </c>
    </row>
    <row r="330" spans="1:216" x14ac:dyDescent="0.25">
      <c r="A330" t="s">
        <v>585</v>
      </c>
      <c r="B330" t="s">
        <v>54</v>
      </c>
      <c r="C330" s="3">
        <f t="shared" si="6"/>
        <v>41.85</v>
      </c>
      <c r="D330" s="3">
        <f t="shared" si="7"/>
        <v>123.78333333333333</v>
      </c>
      <c r="E330" t="s">
        <v>12</v>
      </c>
      <c r="F330" t="s">
        <v>22</v>
      </c>
      <c r="G330" t="s">
        <v>97</v>
      </c>
      <c r="H330">
        <v>35</v>
      </c>
      <c r="I330" t="s">
        <v>12</v>
      </c>
      <c r="J330" t="s">
        <v>12</v>
      </c>
      <c r="K330" t="s">
        <v>15</v>
      </c>
      <c r="L330" t="s">
        <v>587</v>
      </c>
      <c r="M330" t="s">
        <v>890</v>
      </c>
      <c r="O330">
        <f>101/AVERAGE(114,101,40,99)*110</f>
        <v>125.5367231638418</v>
      </c>
      <c r="DX330">
        <v>0.5</v>
      </c>
      <c r="EJ330">
        <v>0.5</v>
      </c>
    </row>
    <row r="331" spans="1:216" x14ac:dyDescent="0.25">
      <c r="A331" t="s">
        <v>585</v>
      </c>
      <c r="B331" t="s">
        <v>54</v>
      </c>
      <c r="C331" s="3">
        <f t="shared" si="6"/>
        <v>41.85</v>
      </c>
      <c r="D331" s="3">
        <f t="shared" si="7"/>
        <v>123.78333333333333</v>
      </c>
      <c r="E331" t="s">
        <v>12</v>
      </c>
      <c r="F331" t="s">
        <v>22</v>
      </c>
      <c r="G331" t="s">
        <v>97</v>
      </c>
      <c r="H331">
        <v>35</v>
      </c>
      <c r="I331" t="s">
        <v>12</v>
      </c>
      <c r="J331" t="s">
        <v>12</v>
      </c>
      <c r="K331" t="s">
        <v>15</v>
      </c>
      <c r="L331" t="s">
        <v>587</v>
      </c>
      <c r="M331" t="s">
        <v>890</v>
      </c>
      <c r="O331">
        <f>40/AVERAGE(114,101,40,99)*110</f>
        <v>49.717514124293785</v>
      </c>
      <c r="EA331">
        <v>0.5</v>
      </c>
      <c r="EM331">
        <v>0.5</v>
      </c>
    </row>
    <row r="332" spans="1:216" x14ac:dyDescent="0.25">
      <c r="A332" t="s">
        <v>585</v>
      </c>
      <c r="B332" t="s">
        <v>54</v>
      </c>
      <c r="C332" s="3">
        <f t="shared" si="6"/>
        <v>41.85</v>
      </c>
      <c r="D332" s="3">
        <f t="shared" si="7"/>
        <v>123.78333333333333</v>
      </c>
      <c r="E332" t="s">
        <v>12</v>
      </c>
      <c r="F332" t="s">
        <v>22</v>
      </c>
      <c r="G332" t="s">
        <v>97</v>
      </c>
      <c r="H332">
        <v>35</v>
      </c>
      <c r="I332" t="s">
        <v>12</v>
      </c>
      <c r="J332" t="s">
        <v>12</v>
      </c>
      <c r="K332" t="s">
        <v>15</v>
      </c>
      <c r="L332" t="s">
        <v>587</v>
      </c>
      <c r="M332" t="s">
        <v>890</v>
      </c>
      <c r="O332">
        <f>99/AVERAGE(114,101,40,99)*110</f>
        <v>123.05084745762711</v>
      </c>
      <c r="ED332">
        <v>0.5</v>
      </c>
      <c r="EP332">
        <v>0.5</v>
      </c>
    </row>
    <row r="333" spans="1:216" x14ac:dyDescent="0.25">
      <c r="A333" t="s">
        <v>585</v>
      </c>
      <c r="B333" t="s">
        <v>54</v>
      </c>
      <c r="C333" s="3">
        <f t="shared" si="6"/>
        <v>41.85</v>
      </c>
      <c r="D333" s="3">
        <f t="shared" si="7"/>
        <v>123.78333333333333</v>
      </c>
      <c r="E333" t="s">
        <v>12</v>
      </c>
      <c r="F333" t="s">
        <v>21</v>
      </c>
      <c r="G333" t="s">
        <v>97</v>
      </c>
      <c r="H333">
        <v>35</v>
      </c>
      <c r="I333" t="s">
        <v>12</v>
      </c>
      <c r="J333" t="s">
        <v>12</v>
      </c>
      <c r="K333" t="s">
        <v>15</v>
      </c>
      <c r="L333" t="s">
        <v>587</v>
      </c>
      <c r="M333" t="s">
        <v>890</v>
      </c>
      <c r="O333">
        <f>114/AVERAGE(114,101,40,99)*66</f>
        <v>85.016949152542367</v>
      </c>
      <c r="DU333">
        <v>0.5</v>
      </c>
      <c r="EG333">
        <v>0.5</v>
      </c>
    </row>
    <row r="334" spans="1:216" x14ac:dyDescent="0.25">
      <c r="A334" t="s">
        <v>585</v>
      </c>
      <c r="B334" t="s">
        <v>54</v>
      </c>
      <c r="C334" s="3">
        <f t="shared" si="6"/>
        <v>41.85</v>
      </c>
      <c r="D334" s="3">
        <f t="shared" si="7"/>
        <v>123.78333333333333</v>
      </c>
      <c r="E334" t="s">
        <v>12</v>
      </c>
      <c r="F334" t="s">
        <v>21</v>
      </c>
      <c r="G334" t="s">
        <v>97</v>
      </c>
      <c r="H334">
        <v>35</v>
      </c>
      <c r="I334" t="s">
        <v>12</v>
      </c>
      <c r="J334" t="s">
        <v>12</v>
      </c>
      <c r="K334" t="s">
        <v>15</v>
      </c>
      <c r="L334" t="s">
        <v>587</v>
      </c>
      <c r="M334" t="s">
        <v>890</v>
      </c>
      <c r="O334">
        <f>101/AVERAGE(114,101,40,99)*66</f>
        <v>75.322033898305079</v>
      </c>
      <c r="DX334">
        <v>0.5</v>
      </c>
      <c r="EJ334">
        <v>0.5</v>
      </c>
    </row>
    <row r="335" spans="1:216" x14ac:dyDescent="0.25">
      <c r="A335" t="s">
        <v>585</v>
      </c>
      <c r="B335" t="s">
        <v>54</v>
      </c>
      <c r="C335" s="3">
        <f t="shared" si="6"/>
        <v>41.85</v>
      </c>
      <c r="D335" s="3">
        <f t="shared" si="7"/>
        <v>123.78333333333333</v>
      </c>
      <c r="E335" t="s">
        <v>12</v>
      </c>
      <c r="F335" t="s">
        <v>21</v>
      </c>
      <c r="G335" t="s">
        <v>97</v>
      </c>
      <c r="H335">
        <v>35</v>
      </c>
      <c r="I335" t="s">
        <v>12</v>
      </c>
      <c r="J335" t="s">
        <v>12</v>
      </c>
      <c r="K335" t="s">
        <v>15</v>
      </c>
      <c r="L335" t="s">
        <v>587</v>
      </c>
      <c r="M335" t="s">
        <v>890</v>
      </c>
      <c r="O335">
        <f>40/AVERAGE(114,101,40,99)*66</f>
        <v>29.83050847457627</v>
      </c>
      <c r="EA335">
        <v>0.5</v>
      </c>
      <c r="EM335">
        <v>0.5</v>
      </c>
    </row>
    <row r="336" spans="1:216" x14ac:dyDescent="0.25">
      <c r="A336" t="s">
        <v>585</v>
      </c>
      <c r="B336" t="s">
        <v>54</v>
      </c>
      <c r="C336" s="3">
        <f t="shared" si="6"/>
        <v>41.85</v>
      </c>
      <c r="D336" s="3">
        <f t="shared" si="7"/>
        <v>123.78333333333333</v>
      </c>
      <c r="E336" t="s">
        <v>12</v>
      </c>
      <c r="F336" t="s">
        <v>21</v>
      </c>
      <c r="G336" t="s">
        <v>97</v>
      </c>
      <c r="H336">
        <v>35</v>
      </c>
      <c r="I336" t="s">
        <v>12</v>
      </c>
      <c r="J336" t="s">
        <v>12</v>
      </c>
      <c r="K336" t="s">
        <v>15</v>
      </c>
      <c r="L336" t="s">
        <v>587</v>
      </c>
      <c r="M336" t="s">
        <v>890</v>
      </c>
      <c r="O336">
        <f>99/AVERAGE(114,101,40,99)*66</f>
        <v>73.830508474576263</v>
      </c>
      <c r="ED336">
        <v>0.5</v>
      </c>
      <c r="EP336">
        <v>0.5</v>
      </c>
    </row>
    <row r="337" spans="1:216" x14ac:dyDescent="0.25">
      <c r="A337" t="s">
        <v>100</v>
      </c>
      <c r="B337" t="s">
        <v>54</v>
      </c>
      <c r="C337" s="3">
        <v>26.075199999999999</v>
      </c>
      <c r="D337" s="3">
        <v>119.31529999999999</v>
      </c>
      <c r="E337" t="s">
        <v>15</v>
      </c>
      <c r="F337" t="s">
        <v>77</v>
      </c>
      <c r="G337" t="s">
        <v>76</v>
      </c>
      <c r="H337">
        <v>52</v>
      </c>
      <c r="I337" t="s">
        <v>15</v>
      </c>
      <c r="J337" t="s">
        <v>12</v>
      </c>
      <c r="K337" t="s">
        <v>12</v>
      </c>
      <c r="L337" t="s">
        <v>400</v>
      </c>
      <c r="M337" t="s">
        <v>997</v>
      </c>
      <c r="O337">
        <v>39.299999999999997</v>
      </c>
      <c r="P337">
        <v>33.1</v>
      </c>
      <c r="GY337">
        <v>0.5</v>
      </c>
    </row>
    <row r="338" spans="1:216" x14ac:dyDescent="0.25">
      <c r="A338" t="s">
        <v>100</v>
      </c>
      <c r="B338" t="s">
        <v>54</v>
      </c>
      <c r="C338" s="3">
        <v>26.075199999999999</v>
      </c>
      <c r="D338" s="3">
        <v>119.31529999999999</v>
      </c>
      <c r="E338" t="s">
        <v>15</v>
      </c>
      <c r="F338" t="s">
        <v>77</v>
      </c>
      <c r="G338" t="s">
        <v>76</v>
      </c>
      <c r="H338">
        <v>52</v>
      </c>
      <c r="I338" t="s">
        <v>15</v>
      </c>
      <c r="J338" t="s">
        <v>12</v>
      </c>
      <c r="K338" t="s">
        <v>12</v>
      </c>
      <c r="L338" t="s">
        <v>400</v>
      </c>
      <c r="M338" t="s">
        <v>997</v>
      </c>
      <c r="O338">
        <v>112.1</v>
      </c>
      <c r="P338">
        <v>19.3</v>
      </c>
      <c r="HA338">
        <v>0.5</v>
      </c>
    </row>
    <row r="339" spans="1:216" x14ac:dyDescent="0.25">
      <c r="A339" t="s">
        <v>100</v>
      </c>
      <c r="B339" t="s">
        <v>54</v>
      </c>
      <c r="C339" s="3">
        <v>26.075199999999999</v>
      </c>
      <c r="D339" s="3">
        <v>119.31529999999999</v>
      </c>
      <c r="E339" t="s">
        <v>15</v>
      </c>
      <c r="F339" t="s">
        <v>77</v>
      </c>
      <c r="G339" t="s">
        <v>76</v>
      </c>
      <c r="H339">
        <v>52</v>
      </c>
      <c r="I339" t="s">
        <v>15</v>
      </c>
      <c r="J339" t="s">
        <v>12</v>
      </c>
      <c r="K339" t="s">
        <v>12</v>
      </c>
      <c r="L339" t="s">
        <v>400</v>
      </c>
      <c r="M339" t="s">
        <v>997</v>
      </c>
      <c r="O339">
        <v>134.19999999999999</v>
      </c>
      <c r="P339">
        <v>46.4</v>
      </c>
      <c r="HD339">
        <v>0.5</v>
      </c>
    </row>
    <row r="340" spans="1:216" x14ac:dyDescent="0.25">
      <c r="A340" t="s">
        <v>100</v>
      </c>
      <c r="B340" t="s">
        <v>54</v>
      </c>
      <c r="C340" s="3">
        <v>26.075199999999999</v>
      </c>
      <c r="D340" s="3">
        <v>119.31529999999999</v>
      </c>
      <c r="E340" t="s">
        <v>15</v>
      </c>
      <c r="F340" t="s">
        <v>77</v>
      </c>
      <c r="G340" t="s">
        <v>76</v>
      </c>
      <c r="H340">
        <v>52</v>
      </c>
      <c r="I340" t="s">
        <v>15</v>
      </c>
      <c r="J340" t="s">
        <v>12</v>
      </c>
      <c r="K340" t="s">
        <v>12</v>
      </c>
      <c r="L340" t="s">
        <v>400</v>
      </c>
      <c r="M340" t="s">
        <v>997</v>
      </c>
      <c r="O340">
        <v>55.7</v>
      </c>
      <c r="P340">
        <v>20.3</v>
      </c>
      <c r="HH340">
        <v>0.5</v>
      </c>
    </row>
    <row r="341" spans="1:216" x14ac:dyDescent="0.25">
      <c r="A341" t="s">
        <v>100</v>
      </c>
      <c r="B341" t="s">
        <v>54</v>
      </c>
      <c r="C341" s="3">
        <v>25.727</v>
      </c>
      <c r="D341" s="3">
        <v>119.38549999999999</v>
      </c>
      <c r="E341" t="s">
        <v>15</v>
      </c>
      <c r="F341" t="s">
        <v>77</v>
      </c>
      <c r="G341" t="s">
        <v>76</v>
      </c>
      <c r="H341">
        <v>52</v>
      </c>
      <c r="I341" t="s">
        <v>15</v>
      </c>
      <c r="J341" t="s">
        <v>12</v>
      </c>
      <c r="K341" t="s">
        <v>12</v>
      </c>
      <c r="L341" t="s">
        <v>400</v>
      </c>
      <c r="M341" t="s">
        <v>997</v>
      </c>
      <c r="O341">
        <v>43.1</v>
      </c>
      <c r="P341">
        <v>17.100000000000001</v>
      </c>
      <c r="GY341">
        <v>0.5</v>
      </c>
    </row>
    <row r="342" spans="1:216" x14ac:dyDescent="0.25">
      <c r="A342" t="s">
        <v>100</v>
      </c>
      <c r="B342" t="s">
        <v>54</v>
      </c>
      <c r="C342" s="3">
        <v>25.727</v>
      </c>
      <c r="D342" s="3">
        <v>119.38549999999999</v>
      </c>
      <c r="E342" t="s">
        <v>15</v>
      </c>
      <c r="F342" t="s">
        <v>77</v>
      </c>
      <c r="G342" t="s">
        <v>76</v>
      </c>
      <c r="H342">
        <v>52</v>
      </c>
      <c r="I342" t="s">
        <v>15</v>
      </c>
      <c r="J342" t="s">
        <v>12</v>
      </c>
      <c r="K342" t="s">
        <v>12</v>
      </c>
      <c r="L342" t="s">
        <v>400</v>
      </c>
      <c r="M342" t="s">
        <v>997</v>
      </c>
      <c r="O342">
        <v>79.900000000000006</v>
      </c>
      <c r="P342">
        <v>17.2</v>
      </c>
      <c r="HA342">
        <v>0.5</v>
      </c>
    </row>
    <row r="343" spans="1:216" x14ac:dyDescent="0.25">
      <c r="A343" t="s">
        <v>100</v>
      </c>
      <c r="B343" t="s">
        <v>54</v>
      </c>
      <c r="C343" s="3">
        <v>25.727</v>
      </c>
      <c r="D343" s="3">
        <v>119.38549999999999</v>
      </c>
      <c r="E343" t="s">
        <v>15</v>
      </c>
      <c r="F343" t="s">
        <v>77</v>
      </c>
      <c r="G343" t="s">
        <v>76</v>
      </c>
      <c r="H343">
        <v>52</v>
      </c>
      <c r="I343" t="s">
        <v>15</v>
      </c>
      <c r="J343" t="s">
        <v>12</v>
      </c>
      <c r="K343" t="s">
        <v>12</v>
      </c>
      <c r="L343" t="s">
        <v>400</v>
      </c>
      <c r="M343" t="s">
        <v>997</v>
      </c>
      <c r="O343">
        <v>98.2</v>
      </c>
      <c r="P343">
        <v>25.3</v>
      </c>
      <c r="HD343">
        <v>0.5</v>
      </c>
    </row>
    <row r="344" spans="1:216" x14ac:dyDescent="0.25">
      <c r="A344" t="s">
        <v>100</v>
      </c>
      <c r="B344" t="s">
        <v>54</v>
      </c>
      <c r="C344" s="3">
        <v>25.727</v>
      </c>
      <c r="D344" s="3">
        <v>119.38549999999999</v>
      </c>
      <c r="E344" t="s">
        <v>15</v>
      </c>
      <c r="F344" t="s">
        <v>77</v>
      </c>
      <c r="G344" t="s">
        <v>76</v>
      </c>
      <c r="H344">
        <v>52</v>
      </c>
      <c r="I344" t="s">
        <v>15</v>
      </c>
      <c r="J344" t="s">
        <v>12</v>
      </c>
      <c r="K344" t="s">
        <v>12</v>
      </c>
      <c r="L344" t="s">
        <v>400</v>
      </c>
      <c r="M344" t="s">
        <v>997</v>
      </c>
      <c r="O344">
        <v>44.2</v>
      </c>
      <c r="P344">
        <v>36.700000000000003</v>
      </c>
      <c r="HH344">
        <v>0.5</v>
      </c>
    </row>
    <row r="345" spans="1:216" x14ac:dyDescent="0.25">
      <c r="A345" t="s">
        <v>100</v>
      </c>
      <c r="B345" t="s">
        <v>54</v>
      </c>
      <c r="C345" s="3">
        <v>25.485299999999999</v>
      </c>
      <c r="D345" s="3">
        <v>119.7602</v>
      </c>
      <c r="E345" t="s">
        <v>15</v>
      </c>
      <c r="F345" t="s">
        <v>77</v>
      </c>
      <c r="G345" t="s">
        <v>76</v>
      </c>
      <c r="H345">
        <v>52</v>
      </c>
      <c r="I345" t="s">
        <v>15</v>
      </c>
      <c r="J345" t="s">
        <v>12</v>
      </c>
      <c r="K345" t="s">
        <v>12</v>
      </c>
      <c r="L345" t="s">
        <v>400</v>
      </c>
      <c r="M345" t="s">
        <v>997</v>
      </c>
      <c r="O345">
        <v>37.799999999999997</v>
      </c>
      <c r="P345">
        <v>17.5</v>
      </c>
      <c r="GY345">
        <v>0.5</v>
      </c>
    </row>
    <row r="346" spans="1:216" x14ac:dyDescent="0.25">
      <c r="A346" t="s">
        <v>100</v>
      </c>
      <c r="B346" t="s">
        <v>54</v>
      </c>
      <c r="C346" s="3">
        <v>25.485299999999999</v>
      </c>
      <c r="D346" s="3">
        <v>119.7602</v>
      </c>
      <c r="E346" t="s">
        <v>15</v>
      </c>
      <c r="F346" t="s">
        <v>77</v>
      </c>
      <c r="G346" t="s">
        <v>76</v>
      </c>
      <c r="H346">
        <v>52</v>
      </c>
      <c r="I346" t="s">
        <v>15</v>
      </c>
      <c r="J346" t="s">
        <v>12</v>
      </c>
      <c r="K346" t="s">
        <v>12</v>
      </c>
      <c r="L346" t="s">
        <v>400</v>
      </c>
      <c r="M346" t="s">
        <v>997</v>
      </c>
      <c r="O346">
        <v>79.099999999999994</v>
      </c>
      <c r="P346">
        <v>26.4</v>
      </c>
      <c r="HA346">
        <v>0.5</v>
      </c>
    </row>
    <row r="347" spans="1:216" x14ac:dyDescent="0.25">
      <c r="A347" t="s">
        <v>100</v>
      </c>
      <c r="B347" t="s">
        <v>54</v>
      </c>
      <c r="C347" s="3">
        <v>25.485299999999999</v>
      </c>
      <c r="D347" s="3">
        <v>119.7602</v>
      </c>
      <c r="E347" t="s">
        <v>15</v>
      </c>
      <c r="F347" t="s">
        <v>77</v>
      </c>
      <c r="G347" t="s">
        <v>76</v>
      </c>
      <c r="H347">
        <v>52</v>
      </c>
      <c r="I347" t="s">
        <v>15</v>
      </c>
      <c r="J347" t="s">
        <v>12</v>
      </c>
      <c r="K347" t="s">
        <v>12</v>
      </c>
      <c r="L347" t="s">
        <v>400</v>
      </c>
      <c r="M347" t="s">
        <v>997</v>
      </c>
      <c r="O347">
        <v>75.599999999999994</v>
      </c>
      <c r="P347">
        <v>25</v>
      </c>
      <c r="HD347">
        <v>0.5</v>
      </c>
    </row>
    <row r="348" spans="1:216" x14ac:dyDescent="0.25">
      <c r="A348" t="s">
        <v>100</v>
      </c>
      <c r="B348" t="s">
        <v>54</v>
      </c>
      <c r="C348" s="3">
        <v>25.485299999999999</v>
      </c>
      <c r="D348" s="3">
        <v>119.7602</v>
      </c>
      <c r="E348" t="s">
        <v>15</v>
      </c>
      <c r="F348" t="s">
        <v>77</v>
      </c>
      <c r="G348" t="s">
        <v>76</v>
      </c>
      <c r="H348">
        <v>52</v>
      </c>
      <c r="I348" t="s">
        <v>15</v>
      </c>
      <c r="J348" t="s">
        <v>12</v>
      </c>
      <c r="K348" t="s">
        <v>12</v>
      </c>
      <c r="L348" t="s">
        <v>400</v>
      </c>
      <c r="M348" t="s">
        <v>997</v>
      </c>
      <c r="O348">
        <v>21.1</v>
      </c>
      <c r="P348">
        <v>5.5</v>
      </c>
      <c r="HH348">
        <v>0.5</v>
      </c>
    </row>
    <row r="349" spans="1:216" x14ac:dyDescent="0.25">
      <c r="A349" t="s">
        <v>100</v>
      </c>
      <c r="B349" t="s">
        <v>54</v>
      </c>
      <c r="C349" s="3">
        <f>AVERAGE(26+6/60+33.3/3600,26+4/60+45.1/3600)</f>
        <v>26.094222222222221</v>
      </c>
      <c r="D349" s="3">
        <f>AVERAGE(119+17/60+56.2/3600,119+19/60+8.2/3600)</f>
        <v>119.30894444444445</v>
      </c>
      <c r="E349" t="s">
        <v>15</v>
      </c>
      <c r="F349" t="s">
        <v>8</v>
      </c>
      <c r="G349" t="s">
        <v>76</v>
      </c>
      <c r="H349">
        <v>50</v>
      </c>
      <c r="I349" t="s">
        <v>15</v>
      </c>
      <c r="J349" t="s">
        <v>15</v>
      </c>
      <c r="K349" t="s">
        <v>15</v>
      </c>
      <c r="L349" t="s">
        <v>142</v>
      </c>
      <c r="M349" t="s">
        <v>1109</v>
      </c>
      <c r="N349" t="s">
        <v>141</v>
      </c>
      <c r="O349">
        <v>49.78</v>
      </c>
      <c r="FH349">
        <v>0.5</v>
      </c>
      <c r="FI349">
        <v>0.5</v>
      </c>
    </row>
    <row r="350" spans="1:216" x14ac:dyDescent="0.25">
      <c r="A350" t="s">
        <v>100</v>
      </c>
      <c r="B350" t="s">
        <v>54</v>
      </c>
      <c r="C350" s="3">
        <f>AVERAGE(26+6/60+33.3/3600,26+4/60+45.1/3600)</f>
        <v>26.094222222222221</v>
      </c>
      <c r="D350" s="3">
        <f>AVERAGE(119+17/60+56.2/3600,119+19/60+8.2/3600)</f>
        <v>119.30894444444445</v>
      </c>
      <c r="E350" t="s">
        <v>15</v>
      </c>
      <c r="F350" t="s">
        <v>8</v>
      </c>
      <c r="G350" t="s">
        <v>76</v>
      </c>
      <c r="H350">
        <v>50</v>
      </c>
      <c r="I350" t="s">
        <v>15</v>
      </c>
      <c r="J350" t="s">
        <v>15</v>
      </c>
      <c r="K350" t="s">
        <v>15</v>
      </c>
      <c r="L350" t="s">
        <v>142</v>
      </c>
      <c r="M350" t="s">
        <v>1109</v>
      </c>
      <c r="N350" t="s">
        <v>141</v>
      </c>
      <c r="O350">
        <v>23.58</v>
      </c>
      <c r="FM350">
        <v>0.5</v>
      </c>
    </row>
    <row r="351" spans="1:216" x14ac:dyDescent="0.25">
      <c r="A351" t="s">
        <v>100</v>
      </c>
      <c r="B351" t="s">
        <v>54</v>
      </c>
      <c r="C351" s="3">
        <f>AVERAGE(26+6/60+33.3/3600,26+4/60+45.1/3600)</f>
        <v>26.094222222222221</v>
      </c>
      <c r="D351" s="3">
        <f>AVERAGE(119+17/60+56.2/3600,119+19/60+8.2/3600)</f>
        <v>119.30894444444445</v>
      </c>
      <c r="E351" t="s">
        <v>15</v>
      </c>
      <c r="F351" t="s">
        <v>8</v>
      </c>
      <c r="G351" t="s">
        <v>76</v>
      </c>
      <c r="H351">
        <v>50</v>
      </c>
      <c r="I351" t="s">
        <v>15</v>
      </c>
      <c r="J351" t="s">
        <v>15</v>
      </c>
      <c r="K351" t="s">
        <v>15</v>
      </c>
      <c r="L351" t="s">
        <v>142</v>
      </c>
      <c r="M351" t="s">
        <v>1109</v>
      </c>
      <c r="N351" t="s">
        <v>141</v>
      </c>
      <c r="O351">
        <v>44.14</v>
      </c>
      <c r="FO351">
        <v>0.5</v>
      </c>
    </row>
    <row r="352" spans="1:216" x14ac:dyDescent="0.25">
      <c r="A352" t="s">
        <v>100</v>
      </c>
      <c r="B352" t="s">
        <v>54</v>
      </c>
      <c r="C352" s="3">
        <f>AVERAGE(26+6/60+33.3/3600,26+4/60+45.1/3600)</f>
        <v>26.094222222222221</v>
      </c>
      <c r="D352" s="3">
        <f>AVERAGE(119+17/60+56.2/3600,119+19/60+8.2/3600)</f>
        <v>119.30894444444445</v>
      </c>
      <c r="E352" t="s">
        <v>15</v>
      </c>
      <c r="F352" t="s">
        <v>8</v>
      </c>
      <c r="G352" t="s">
        <v>76</v>
      </c>
      <c r="H352">
        <v>50</v>
      </c>
      <c r="I352" t="s">
        <v>15</v>
      </c>
      <c r="J352" t="s">
        <v>15</v>
      </c>
      <c r="K352" t="s">
        <v>15</v>
      </c>
      <c r="L352" t="s">
        <v>142</v>
      </c>
      <c r="M352" t="s">
        <v>1109</v>
      </c>
      <c r="N352" t="s">
        <v>141</v>
      </c>
      <c r="O352">
        <v>59.81</v>
      </c>
      <c r="FQ352">
        <v>0.5</v>
      </c>
    </row>
    <row r="353" spans="1:216" x14ac:dyDescent="0.25">
      <c r="A353" t="s">
        <v>100</v>
      </c>
      <c r="B353" t="s">
        <v>54</v>
      </c>
      <c r="C353" s="3">
        <v>26.06</v>
      </c>
      <c r="D353" s="3">
        <v>119.29</v>
      </c>
      <c r="E353" t="s">
        <v>12</v>
      </c>
      <c r="F353" t="s">
        <v>8</v>
      </c>
      <c r="G353" t="s">
        <v>106</v>
      </c>
      <c r="H353">
        <v>50</v>
      </c>
      <c r="I353" t="s">
        <v>12</v>
      </c>
      <c r="J353" t="s">
        <v>12</v>
      </c>
      <c r="K353" t="s">
        <v>15</v>
      </c>
      <c r="L353" t="s">
        <v>133</v>
      </c>
      <c r="M353" t="s">
        <v>1111</v>
      </c>
      <c r="O353">
        <f>AVERAGE(88.7,67.1,48.7)</f>
        <v>68.166666666666671</v>
      </c>
      <c r="P353">
        <f>AVERAGE(31.4,24,16.8)</f>
        <v>24.066666666666666</v>
      </c>
      <c r="HH353">
        <v>0.5</v>
      </c>
    </row>
    <row r="354" spans="1:216" x14ac:dyDescent="0.25">
      <c r="A354" t="s">
        <v>100</v>
      </c>
      <c r="B354" t="s">
        <v>54</v>
      </c>
      <c r="C354" s="3">
        <f>((26+6/60+33.3/3600)+(26+4/60+45.1/3600))/2</f>
        <v>26.094222222222221</v>
      </c>
      <c r="D354" s="3">
        <f>((119+17/60+56.2/3600)+(119+19/60+8.2/3600))/2</f>
        <v>119.30894444444445</v>
      </c>
      <c r="E354" t="s">
        <v>15</v>
      </c>
      <c r="F354" t="s">
        <v>77</v>
      </c>
      <c r="G354" t="s">
        <v>97</v>
      </c>
      <c r="H354">
        <v>50</v>
      </c>
      <c r="I354" t="s">
        <v>15</v>
      </c>
      <c r="J354" t="s">
        <v>15</v>
      </c>
      <c r="K354" t="s">
        <v>15</v>
      </c>
      <c r="L354" t="s">
        <v>99</v>
      </c>
      <c r="M354" t="s">
        <v>1131</v>
      </c>
      <c r="N354" t="s">
        <v>98</v>
      </c>
      <c r="O354">
        <v>24.92</v>
      </c>
      <c r="P354">
        <v>4.1100000000000003</v>
      </c>
      <c r="FM354">
        <v>0.5</v>
      </c>
    </row>
    <row r="355" spans="1:216" x14ac:dyDescent="0.25">
      <c r="A355" t="s">
        <v>100</v>
      </c>
      <c r="B355" t="s">
        <v>54</v>
      </c>
      <c r="C355" s="3">
        <f>((26+6/60+33.3/3600)+(26+4/60+45.1/3600))/2</f>
        <v>26.094222222222221</v>
      </c>
      <c r="D355" s="3">
        <f>((119+17/60+56.2/3600)+(119+19/60+8.2/3600))/2</f>
        <v>119.30894444444445</v>
      </c>
      <c r="E355" t="s">
        <v>15</v>
      </c>
      <c r="F355" t="s">
        <v>77</v>
      </c>
      <c r="G355" t="s">
        <v>30</v>
      </c>
      <c r="H355">
        <v>50</v>
      </c>
      <c r="I355" t="s">
        <v>15</v>
      </c>
      <c r="J355" t="s">
        <v>15</v>
      </c>
      <c r="K355" t="s">
        <v>15</v>
      </c>
      <c r="L355" t="s">
        <v>99</v>
      </c>
      <c r="M355" t="s">
        <v>1131</v>
      </c>
      <c r="N355" t="s">
        <v>98</v>
      </c>
      <c r="O355">
        <v>36.56</v>
      </c>
      <c r="P355">
        <v>1.83</v>
      </c>
      <c r="FQ355">
        <v>0.5</v>
      </c>
    </row>
    <row r="356" spans="1:216" x14ac:dyDescent="0.25">
      <c r="A356" t="s">
        <v>67</v>
      </c>
      <c r="B356" t="s">
        <v>54</v>
      </c>
      <c r="C356" s="3">
        <f>23+38.53/60</f>
        <v>23.642166666666668</v>
      </c>
      <c r="D356" s="3">
        <f>113+38.345/60</f>
        <v>113.63908333333333</v>
      </c>
      <c r="E356" t="s">
        <v>15</v>
      </c>
      <c r="F356" t="s">
        <v>20</v>
      </c>
      <c r="G356" t="s">
        <v>68</v>
      </c>
      <c r="I356" t="s">
        <v>15</v>
      </c>
      <c r="J356" t="s">
        <v>15</v>
      </c>
      <c r="K356" t="s">
        <v>15</v>
      </c>
      <c r="L356" t="s">
        <v>70</v>
      </c>
      <c r="M356" t="s">
        <v>884</v>
      </c>
      <c r="O356">
        <v>36.799999999999997</v>
      </c>
      <c r="P356">
        <v>18.5</v>
      </c>
      <c r="DF356">
        <v>1</v>
      </c>
      <c r="DH356">
        <v>1</v>
      </c>
      <c r="DK356">
        <v>1</v>
      </c>
      <c r="DN356">
        <v>1</v>
      </c>
    </row>
    <row r="357" spans="1:216" x14ac:dyDescent="0.25">
      <c r="A357" t="s">
        <v>67</v>
      </c>
      <c r="B357" t="s">
        <v>54</v>
      </c>
      <c r="C357" s="3">
        <f>22+32.183/60</f>
        <v>22.536383333333333</v>
      </c>
      <c r="D357" s="3">
        <f>113+56.34/60</f>
        <v>113.93899999999999</v>
      </c>
      <c r="E357" t="s">
        <v>15</v>
      </c>
      <c r="F357" t="s">
        <v>21</v>
      </c>
      <c r="G357" t="s">
        <v>69</v>
      </c>
      <c r="I357" t="s">
        <v>15</v>
      </c>
      <c r="J357" t="s">
        <v>15</v>
      </c>
      <c r="K357" t="s">
        <v>15</v>
      </c>
      <c r="L357" t="s">
        <v>70</v>
      </c>
      <c r="M357" t="s">
        <v>884</v>
      </c>
      <c r="O357">
        <v>47.1</v>
      </c>
      <c r="P357">
        <v>21.3</v>
      </c>
      <c r="DF357">
        <v>1</v>
      </c>
      <c r="DH357">
        <v>1</v>
      </c>
      <c r="DK357">
        <v>1</v>
      </c>
      <c r="DN357">
        <v>1</v>
      </c>
    </row>
    <row r="358" spans="1:216" x14ac:dyDescent="0.25">
      <c r="A358" t="s">
        <v>67</v>
      </c>
      <c r="B358" t="s">
        <v>54</v>
      </c>
      <c r="C358" s="3">
        <f>22+30.66/60</f>
        <v>22.510999999999999</v>
      </c>
      <c r="D358" s="3">
        <f>113+24.429/60</f>
        <v>113.40715</v>
      </c>
      <c r="E358" t="s">
        <v>15</v>
      </c>
      <c r="F358" t="s">
        <v>21</v>
      </c>
      <c r="G358" t="s">
        <v>68</v>
      </c>
      <c r="I358" t="s">
        <v>15</v>
      </c>
      <c r="J358" t="s">
        <v>15</v>
      </c>
      <c r="K358" t="s">
        <v>15</v>
      </c>
      <c r="L358" t="s">
        <v>70</v>
      </c>
      <c r="M358" t="s">
        <v>884</v>
      </c>
      <c r="O358">
        <v>46.5</v>
      </c>
      <c r="P358">
        <v>23</v>
      </c>
      <c r="DF358">
        <v>1</v>
      </c>
      <c r="DH358">
        <v>1</v>
      </c>
      <c r="DK358">
        <v>1</v>
      </c>
      <c r="DN358">
        <v>1</v>
      </c>
    </row>
    <row r="359" spans="1:216" x14ac:dyDescent="0.25">
      <c r="A359" t="s">
        <v>67</v>
      </c>
      <c r="B359" t="s">
        <v>54</v>
      </c>
      <c r="C359" s="3">
        <f>23+7.969/60</f>
        <v>23.132816666666667</v>
      </c>
      <c r="D359" s="3">
        <f>113+15.585/60</f>
        <v>113.25975</v>
      </c>
      <c r="E359" t="s">
        <v>15</v>
      </c>
      <c r="F359" t="s">
        <v>21</v>
      </c>
      <c r="G359" t="s">
        <v>69</v>
      </c>
      <c r="I359" t="s">
        <v>15</v>
      </c>
      <c r="J359" t="s">
        <v>15</v>
      </c>
      <c r="K359" t="s">
        <v>15</v>
      </c>
      <c r="L359" t="s">
        <v>70</v>
      </c>
      <c r="M359" t="s">
        <v>884</v>
      </c>
      <c r="O359">
        <v>70.599999999999994</v>
      </c>
      <c r="P359">
        <v>30.2</v>
      </c>
      <c r="DF359">
        <v>1</v>
      </c>
      <c r="DH359">
        <v>1</v>
      </c>
      <c r="DK359">
        <v>1</v>
      </c>
      <c r="DN359">
        <v>1</v>
      </c>
    </row>
    <row r="360" spans="1:216" x14ac:dyDescent="0.25">
      <c r="A360" t="s">
        <v>91</v>
      </c>
      <c r="B360" t="s">
        <v>54</v>
      </c>
      <c r="C360" s="3">
        <v>23.134722222222223</v>
      </c>
      <c r="D360" s="3">
        <v>113.27</v>
      </c>
      <c r="E360" t="s">
        <v>15</v>
      </c>
      <c r="F360" t="s">
        <v>77</v>
      </c>
      <c r="G360" t="s">
        <v>692</v>
      </c>
      <c r="I360" t="s">
        <v>15</v>
      </c>
      <c r="J360" t="s">
        <v>15</v>
      </c>
      <c r="K360" t="s">
        <v>15</v>
      </c>
      <c r="L360" t="s">
        <v>744</v>
      </c>
      <c r="M360" t="s">
        <v>798</v>
      </c>
      <c r="O360">
        <v>102.9</v>
      </c>
      <c r="P360">
        <v>25.7</v>
      </c>
      <c r="ED360">
        <v>0.5</v>
      </c>
    </row>
    <row r="361" spans="1:216" x14ac:dyDescent="0.25">
      <c r="A361" t="s">
        <v>91</v>
      </c>
      <c r="B361" t="s">
        <v>54</v>
      </c>
      <c r="C361" s="3">
        <v>23.12</v>
      </c>
      <c r="D361" s="3">
        <v>113.27</v>
      </c>
      <c r="E361" t="s">
        <v>12</v>
      </c>
      <c r="F361" t="s">
        <v>34</v>
      </c>
      <c r="G361" t="s">
        <v>724</v>
      </c>
      <c r="I361" t="s">
        <v>15</v>
      </c>
      <c r="J361" t="s">
        <v>15</v>
      </c>
      <c r="K361" t="s">
        <v>15</v>
      </c>
      <c r="L361" t="s">
        <v>780</v>
      </c>
      <c r="M361" t="s">
        <v>822</v>
      </c>
      <c r="O361">
        <v>153.9</v>
      </c>
      <c r="ED361">
        <v>1</v>
      </c>
      <c r="EE361">
        <v>1</v>
      </c>
    </row>
    <row r="362" spans="1:216" x14ac:dyDescent="0.25">
      <c r="A362" t="s">
        <v>91</v>
      </c>
      <c r="B362" t="s">
        <v>54</v>
      </c>
      <c r="C362" s="3">
        <f t="shared" ref="C362:C370" si="8">23+7/60</f>
        <v>23.116666666666667</v>
      </c>
      <c r="D362" s="3">
        <f t="shared" ref="D362:D370" si="9">1116/60+60/3600</f>
        <v>18.616666666666667</v>
      </c>
      <c r="E362" t="s">
        <v>15</v>
      </c>
      <c r="F362" t="s">
        <v>77</v>
      </c>
      <c r="G362" t="s">
        <v>106</v>
      </c>
      <c r="I362" t="s">
        <v>15</v>
      </c>
      <c r="J362" t="s">
        <v>15</v>
      </c>
      <c r="K362" t="s">
        <v>12</v>
      </c>
      <c r="L362" t="s">
        <v>664</v>
      </c>
      <c r="M362" t="s">
        <v>855</v>
      </c>
      <c r="O362">
        <v>32</v>
      </c>
      <c r="FK362">
        <v>1</v>
      </c>
    </row>
    <row r="363" spans="1:216" x14ac:dyDescent="0.25">
      <c r="A363" t="s">
        <v>91</v>
      </c>
      <c r="B363" t="s">
        <v>54</v>
      </c>
      <c r="C363" s="3">
        <f t="shared" si="8"/>
        <v>23.116666666666667</v>
      </c>
      <c r="D363" s="3">
        <f t="shared" si="9"/>
        <v>18.616666666666667</v>
      </c>
      <c r="E363" t="s">
        <v>15</v>
      </c>
      <c r="F363" t="s">
        <v>77</v>
      </c>
      <c r="G363" t="s">
        <v>106</v>
      </c>
      <c r="I363" t="s">
        <v>15</v>
      </c>
      <c r="J363" t="s">
        <v>15</v>
      </c>
      <c r="K363" t="s">
        <v>12</v>
      </c>
      <c r="L363" t="s">
        <v>664</v>
      </c>
      <c r="M363" t="s">
        <v>855</v>
      </c>
      <c r="O363">
        <v>59</v>
      </c>
      <c r="FL363">
        <v>1</v>
      </c>
    </row>
    <row r="364" spans="1:216" x14ac:dyDescent="0.25">
      <c r="A364" t="s">
        <v>91</v>
      </c>
      <c r="B364" t="s">
        <v>54</v>
      </c>
      <c r="C364" s="3">
        <f t="shared" si="8"/>
        <v>23.116666666666667</v>
      </c>
      <c r="D364" s="3">
        <f t="shared" si="9"/>
        <v>18.616666666666667</v>
      </c>
      <c r="E364" t="s">
        <v>15</v>
      </c>
      <c r="F364" t="s">
        <v>77</v>
      </c>
      <c r="G364" t="s">
        <v>106</v>
      </c>
      <c r="I364" t="s">
        <v>15</v>
      </c>
      <c r="J364" t="s">
        <v>15</v>
      </c>
      <c r="K364" t="s">
        <v>12</v>
      </c>
      <c r="L364" t="s">
        <v>664</v>
      </c>
      <c r="M364" t="s">
        <v>855</v>
      </c>
      <c r="O364">
        <v>59</v>
      </c>
      <c r="FM364">
        <v>1</v>
      </c>
    </row>
    <row r="365" spans="1:216" x14ac:dyDescent="0.25">
      <c r="A365" t="s">
        <v>91</v>
      </c>
      <c r="B365" t="s">
        <v>54</v>
      </c>
      <c r="C365" s="3">
        <f t="shared" si="8"/>
        <v>23.116666666666667</v>
      </c>
      <c r="D365" s="3">
        <f t="shared" si="9"/>
        <v>18.616666666666667</v>
      </c>
      <c r="E365" t="s">
        <v>15</v>
      </c>
      <c r="F365" t="s">
        <v>77</v>
      </c>
      <c r="G365" t="s">
        <v>106</v>
      </c>
      <c r="I365" t="s">
        <v>15</v>
      </c>
      <c r="J365" t="s">
        <v>15</v>
      </c>
      <c r="K365" t="s">
        <v>12</v>
      </c>
      <c r="L365" t="s">
        <v>664</v>
      </c>
      <c r="M365" t="s">
        <v>855</v>
      </c>
      <c r="O365">
        <v>85</v>
      </c>
      <c r="FN365">
        <v>1</v>
      </c>
    </row>
    <row r="366" spans="1:216" x14ac:dyDescent="0.25">
      <c r="A366" t="s">
        <v>91</v>
      </c>
      <c r="B366" t="s">
        <v>54</v>
      </c>
      <c r="C366" s="3">
        <f t="shared" si="8"/>
        <v>23.116666666666667</v>
      </c>
      <c r="D366" s="3">
        <f t="shared" si="9"/>
        <v>18.616666666666667</v>
      </c>
      <c r="E366" t="s">
        <v>15</v>
      </c>
      <c r="F366" t="s">
        <v>77</v>
      </c>
      <c r="G366" t="s">
        <v>106</v>
      </c>
      <c r="I366" t="s">
        <v>15</v>
      </c>
      <c r="J366" t="s">
        <v>15</v>
      </c>
      <c r="K366" t="s">
        <v>12</v>
      </c>
      <c r="L366" t="s">
        <v>664</v>
      </c>
      <c r="M366" t="s">
        <v>855</v>
      </c>
      <c r="O366">
        <v>92</v>
      </c>
      <c r="FO366">
        <v>1</v>
      </c>
    </row>
    <row r="367" spans="1:216" x14ac:dyDescent="0.25">
      <c r="A367" t="s">
        <v>91</v>
      </c>
      <c r="B367" t="s">
        <v>54</v>
      </c>
      <c r="C367" s="3">
        <f t="shared" si="8"/>
        <v>23.116666666666667</v>
      </c>
      <c r="D367" s="3">
        <f t="shared" si="9"/>
        <v>18.616666666666667</v>
      </c>
      <c r="E367" t="s">
        <v>15</v>
      </c>
      <c r="F367" t="s">
        <v>77</v>
      </c>
      <c r="G367" t="s">
        <v>106</v>
      </c>
      <c r="I367" t="s">
        <v>15</v>
      </c>
      <c r="J367" t="s">
        <v>15</v>
      </c>
      <c r="K367" t="s">
        <v>12</v>
      </c>
      <c r="L367" t="s">
        <v>664</v>
      </c>
      <c r="M367" t="s">
        <v>855</v>
      </c>
      <c r="O367">
        <v>161</v>
      </c>
      <c r="FP367">
        <v>1</v>
      </c>
    </row>
    <row r="368" spans="1:216" x14ac:dyDescent="0.25">
      <c r="A368" t="s">
        <v>91</v>
      </c>
      <c r="B368" t="s">
        <v>54</v>
      </c>
      <c r="C368" s="3">
        <f t="shared" si="8"/>
        <v>23.116666666666667</v>
      </c>
      <c r="D368" s="3">
        <f t="shared" si="9"/>
        <v>18.616666666666667</v>
      </c>
      <c r="E368" t="s">
        <v>15</v>
      </c>
      <c r="F368" t="s">
        <v>77</v>
      </c>
      <c r="G368" t="s">
        <v>106</v>
      </c>
      <c r="I368" t="s">
        <v>15</v>
      </c>
      <c r="J368" t="s">
        <v>15</v>
      </c>
      <c r="K368" t="s">
        <v>12</v>
      </c>
      <c r="L368" t="s">
        <v>664</v>
      </c>
      <c r="M368" t="s">
        <v>855</v>
      </c>
      <c r="O368">
        <v>96</v>
      </c>
      <c r="FQ368">
        <v>1</v>
      </c>
    </row>
    <row r="369" spans="1:175" x14ac:dyDescent="0.25">
      <c r="A369" t="s">
        <v>91</v>
      </c>
      <c r="B369" t="s">
        <v>54</v>
      </c>
      <c r="C369" s="3">
        <f t="shared" si="8"/>
        <v>23.116666666666667</v>
      </c>
      <c r="D369" s="3">
        <f t="shared" si="9"/>
        <v>18.616666666666667</v>
      </c>
      <c r="E369" t="s">
        <v>15</v>
      </c>
      <c r="F369" t="s">
        <v>77</v>
      </c>
      <c r="G369" t="s">
        <v>106</v>
      </c>
      <c r="I369" t="s">
        <v>15</v>
      </c>
      <c r="J369" t="s">
        <v>15</v>
      </c>
      <c r="K369" t="s">
        <v>12</v>
      </c>
      <c r="L369" t="s">
        <v>664</v>
      </c>
      <c r="M369" t="s">
        <v>855</v>
      </c>
      <c r="O369">
        <v>71</v>
      </c>
      <c r="FR369">
        <v>1</v>
      </c>
    </row>
    <row r="370" spans="1:175" x14ac:dyDescent="0.25">
      <c r="A370" t="s">
        <v>91</v>
      </c>
      <c r="B370" t="s">
        <v>54</v>
      </c>
      <c r="C370" s="3">
        <f t="shared" si="8"/>
        <v>23.116666666666667</v>
      </c>
      <c r="D370" s="3">
        <f t="shared" si="9"/>
        <v>18.616666666666667</v>
      </c>
      <c r="E370" t="s">
        <v>15</v>
      </c>
      <c r="F370" t="s">
        <v>77</v>
      </c>
      <c r="G370" t="s">
        <v>106</v>
      </c>
      <c r="I370" t="s">
        <v>15</v>
      </c>
      <c r="J370" t="s">
        <v>15</v>
      </c>
      <c r="K370" t="s">
        <v>12</v>
      </c>
      <c r="L370" t="s">
        <v>664</v>
      </c>
      <c r="M370" t="s">
        <v>855</v>
      </c>
      <c r="O370">
        <v>108</v>
      </c>
      <c r="FS370">
        <v>1</v>
      </c>
    </row>
    <row r="371" spans="1:175" x14ac:dyDescent="0.25">
      <c r="A371" t="s">
        <v>91</v>
      </c>
      <c r="B371" t="s">
        <v>54</v>
      </c>
      <c r="C371" s="3">
        <v>23.1</v>
      </c>
      <c r="D371" s="3">
        <v>113.18</v>
      </c>
      <c r="E371" t="s">
        <v>12</v>
      </c>
      <c r="F371" t="s">
        <v>77</v>
      </c>
      <c r="G371" t="s">
        <v>76</v>
      </c>
      <c r="H371">
        <v>50</v>
      </c>
      <c r="I371" t="s">
        <v>15</v>
      </c>
      <c r="J371" t="s">
        <v>12</v>
      </c>
      <c r="K371" t="s">
        <v>12</v>
      </c>
      <c r="L371" t="s">
        <v>649</v>
      </c>
      <c r="M371" t="s">
        <v>865</v>
      </c>
      <c r="O371">
        <v>107.5</v>
      </c>
      <c r="P371">
        <v>34</v>
      </c>
      <c r="EB371">
        <v>0.5</v>
      </c>
      <c r="EC371">
        <v>0.5</v>
      </c>
    </row>
    <row r="372" spans="1:175" x14ac:dyDescent="0.25">
      <c r="A372" t="s">
        <v>91</v>
      </c>
      <c r="B372" t="s">
        <v>54</v>
      </c>
      <c r="C372" s="3">
        <v>23.1</v>
      </c>
      <c r="D372" s="3">
        <v>113.18</v>
      </c>
      <c r="E372" t="s">
        <v>12</v>
      </c>
      <c r="F372" t="s">
        <v>77</v>
      </c>
      <c r="G372" t="s">
        <v>76</v>
      </c>
      <c r="H372">
        <v>50</v>
      </c>
      <c r="I372" t="s">
        <v>15</v>
      </c>
      <c r="J372" t="s">
        <v>12</v>
      </c>
      <c r="K372" t="s">
        <v>12</v>
      </c>
      <c r="L372" t="s">
        <v>649</v>
      </c>
      <c r="M372" t="s">
        <v>865</v>
      </c>
      <c r="O372">
        <v>102.7</v>
      </c>
      <c r="P372">
        <v>54.7</v>
      </c>
      <c r="EB372">
        <v>0.5</v>
      </c>
      <c r="EC372">
        <v>0.5</v>
      </c>
    </row>
    <row r="373" spans="1:175" x14ac:dyDescent="0.25">
      <c r="A373" t="s">
        <v>91</v>
      </c>
      <c r="B373" t="s">
        <v>54</v>
      </c>
      <c r="C373" s="3">
        <v>23.1</v>
      </c>
      <c r="D373" s="3">
        <v>113.18</v>
      </c>
      <c r="E373" t="s">
        <v>12</v>
      </c>
      <c r="F373" t="s">
        <v>77</v>
      </c>
      <c r="G373" t="s">
        <v>76</v>
      </c>
      <c r="H373">
        <v>50</v>
      </c>
      <c r="I373" t="s">
        <v>15</v>
      </c>
      <c r="J373" t="s">
        <v>12</v>
      </c>
      <c r="K373" t="s">
        <v>12</v>
      </c>
      <c r="L373" t="s">
        <v>649</v>
      </c>
      <c r="M373" t="s">
        <v>865</v>
      </c>
      <c r="O373">
        <v>129.9</v>
      </c>
      <c r="P373">
        <v>86.3</v>
      </c>
      <c r="EH373">
        <v>1</v>
      </c>
      <c r="EI373">
        <v>0.25</v>
      </c>
    </row>
    <row r="374" spans="1:175" x14ac:dyDescent="0.25">
      <c r="A374" t="s">
        <v>91</v>
      </c>
      <c r="B374" t="s">
        <v>54</v>
      </c>
      <c r="C374" s="3">
        <v>23.1</v>
      </c>
      <c r="D374" s="3">
        <v>113.18</v>
      </c>
      <c r="E374" t="s">
        <v>12</v>
      </c>
      <c r="F374" t="s">
        <v>77</v>
      </c>
      <c r="G374" t="s">
        <v>76</v>
      </c>
      <c r="H374">
        <v>50</v>
      </c>
      <c r="I374" t="s">
        <v>15</v>
      </c>
      <c r="J374" t="s">
        <v>12</v>
      </c>
      <c r="K374" t="s">
        <v>12</v>
      </c>
      <c r="L374" t="s">
        <v>649</v>
      </c>
      <c r="M374" t="s">
        <v>865</v>
      </c>
      <c r="O374">
        <v>118.8</v>
      </c>
      <c r="P374">
        <v>80.599999999999994</v>
      </c>
      <c r="EH374">
        <v>1</v>
      </c>
      <c r="EI374">
        <v>0.25</v>
      </c>
    </row>
    <row r="375" spans="1:175" x14ac:dyDescent="0.25">
      <c r="A375" t="s">
        <v>91</v>
      </c>
      <c r="B375" t="s">
        <v>54</v>
      </c>
      <c r="C375" s="3">
        <v>23.11</v>
      </c>
      <c r="D375" s="3">
        <v>113.26</v>
      </c>
      <c r="E375" t="s">
        <v>12</v>
      </c>
      <c r="F375" t="s">
        <v>22</v>
      </c>
      <c r="G375" t="s">
        <v>106</v>
      </c>
      <c r="I375" t="s">
        <v>12</v>
      </c>
      <c r="J375" t="s">
        <v>12</v>
      </c>
      <c r="K375" t="s">
        <v>15</v>
      </c>
      <c r="L375" t="s">
        <v>904</v>
      </c>
      <c r="M375" t="s">
        <v>903</v>
      </c>
      <c r="O375">
        <v>92.9</v>
      </c>
      <c r="P375">
        <v>27.2</v>
      </c>
      <c r="EA375">
        <v>1</v>
      </c>
      <c r="EB375">
        <v>0.5</v>
      </c>
    </row>
    <row r="376" spans="1:175" x14ac:dyDescent="0.25">
      <c r="A376" t="s">
        <v>91</v>
      </c>
      <c r="B376" t="s">
        <v>54</v>
      </c>
      <c r="C376" s="3">
        <v>23.11</v>
      </c>
      <c r="D376" s="3">
        <v>113.26</v>
      </c>
      <c r="E376" t="s">
        <v>12</v>
      </c>
      <c r="F376" t="s">
        <v>22</v>
      </c>
      <c r="G376" t="s">
        <v>106</v>
      </c>
      <c r="I376" t="s">
        <v>12</v>
      </c>
      <c r="J376" t="s">
        <v>12</v>
      </c>
      <c r="K376" t="s">
        <v>15</v>
      </c>
      <c r="L376" t="s">
        <v>904</v>
      </c>
      <c r="M376" t="s">
        <v>903</v>
      </c>
      <c r="O376">
        <v>110.2</v>
      </c>
      <c r="P376">
        <v>33.6</v>
      </c>
      <c r="EE376">
        <v>0.25</v>
      </c>
      <c r="EF376">
        <v>1</v>
      </c>
      <c r="EG376">
        <v>0.25</v>
      </c>
    </row>
    <row r="377" spans="1:175" x14ac:dyDescent="0.25">
      <c r="A377" t="s">
        <v>91</v>
      </c>
      <c r="B377" t="s">
        <v>54</v>
      </c>
      <c r="C377" s="3">
        <v>23.11</v>
      </c>
      <c r="D377" s="3">
        <v>113.26</v>
      </c>
      <c r="E377" t="s">
        <v>12</v>
      </c>
      <c r="F377" t="s">
        <v>21</v>
      </c>
      <c r="G377" t="s">
        <v>106</v>
      </c>
      <c r="I377" t="s">
        <v>12</v>
      </c>
      <c r="J377" t="s">
        <v>12</v>
      </c>
      <c r="K377" t="s">
        <v>15</v>
      </c>
      <c r="L377" t="s">
        <v>904</v>
      </c>
      <c r="M377" t="s">
        <v>903</v>
      </c>
      <c r="O377">
        <v>79.400000000000006</v>
      </c>
      <c r="P377">
        <v>19.8</v>
      </c>
      <c r="EA377">
        <v>1</v>
      </c>
      <c r="EB377">
        <v>0.5</v>
      </c>
    </row>
    <row r="378" spans="1:175" x14ac:dyDescent="0.25">
      <c r="A378" t="s">
        <v>91</v>
      </c>
      <c r="B378" t="s">
        <v>54</v>
      </c>
      <c r="C378" s="3">
        <v>23.11</v>
      </c>
      <c r="D378" s="3">
        <v>113.26</v>
      </c>
      <c r="E378" t="s">
        <v>12</v>
      </c>
      <c r="F378" t="s">
        <v>21</v>
      </c>
      <c r="G378" t="s">
        <v>106</v>
      </c>
      <c r="I378" t="s">
        <v>12</v>
      </c>
      <c r="J378" t="s">
        <v>12</v>
      </c>
      <c r="K378" t="s">
        <v>15</v>
      </c>
      <c r="L378" t="s">
        <v>904</v>
      </c>
      <c r="M378" t="s">
        <v>903</v>
      </c>
      <c r="O378">
        <v>141</v>
      </c>
      <c r="P378">
        <v>68.099999999999994</v>
      </c>
      <c r="EE378">
        <v>0.25</v>
      </c>
      <c r="EF378">
        <v>1</v>
      </c>
      <c r="EG378">
        <v>0.25</v>
      </c>
    </row>
    <row r="379" spans="1:175" x14ac:dyDescent="0.25">
      <c r="A379" t="s">
        <v>91</v>
      </c>
      <c r="B379" t="s">
        <v>54</v>
      </c>
      <c r="C379" s="3">
        <v>23.11</v>
      </c>
      <c r="D379" s="3">
        <v>113.26</v>
      </c>
      <c r="E379" t="s">
        <v>12</v>
      </c>
      <c r="F379" t="s">
        <v>77</v>
      </c>
      <c r="G379" t="s">
        <v>106</v>
      </c>
      <c r="I379" t="s">
        <v>12</v>
      </c>
      <c r="J379" t="s">
        <v>12</v>
      </c>
      <c r="K379" t="s">
        <v>15</v>
      </c>
      <c r="L379" t="s">
        <v>904</v>
      </c>
      <c r="M379" t="s">
        <v>903</v>
      </c>
      <c r="O379">
        <v>51.2</v>
      </c>
      <c r="P379">
        <v>15</v>
      </c>
      <c r="EA379">
        <v>1</v>
      </c>
      <c r="EB379">
        <v>0.5</v>
      </c>
    </row>
    <row r="380" spans="1:175" x14ac:dyDescent="0.25">
      <c r="A380" t="s">
        <v>91</v>
      </c>
      <c r="B380" t="s">
        <v>54</v>
      </c>
      <c r="C380" s="3">
        <v>23.11</v>
      </c>
      <c r="D380" s="3">
        <v>113.26</v>
      </c>
      <c r="E380" t="s">
        <v>12</v>
      </c>
      <c r="F380" t="s">
        <v>77</v>
      </c>
      <c r="G380" t="s">
        <v>106</v>
      </c>
      <c r="I380" t="s">
        <v>12</v>
      </c>
      <c r="J380" t="s">
        <v>12</v>
      </c>
      <c r="K380" t="s">
        <v>15</v>
      </c>
      <c r="L380" t="s">
        <v>904</v>
      </c>
      <c r="M380" t="s">
        <v>903</v>
      </c>
      <c r="O380">
        <v>119.9</v>
      </c>
      <c r="P380">
        <v>59.1</v>
      </c>
      <c r="EE380">
        <v>0.25</v>
      </c>
      <c r="EF380">
        <v>1</v>
      </c>
      <c r="EG380">
        <v>0.25</v>
      </c>
    </row>
    <row r="381" spans="1:175" x14ac:dyDescent="0.25">
      <c r="A381" t="s">
        <v>91</v>
      </c>
      <c r="B381" t="s">
        <v>54</v>
      </c>
      <c r="C381" s="3">
        <v>23.1</v>
      </c>
      <c r="D381" s="3">
        <v>113.45</v>
      </c>
      <c r="E381" t="s">
        <v>12</v>
      </c>
      <c r="F381" t="s">
        <v>22</v>
      </c>
      <c r="G381" t="s">
        <v>76</v>
      </c>
      <c r="I381" t="s">
        <v>12</v>
      </c>
      <c r="J381" t="s">
        <v>15</v>
      </c>
      <c r="K381" t="s">
        <v>12</v>
      </c>
      <c r="L381" t="s">
        <v>493</v>
      </c>
      <c r="M381" t="s">
        <v>951</v>
      </c>
      <c r="O381">
        <v>104</v>
      </c>
      <c r="P381">
        <v>77.8</v>
      </c>
      <c r="CW381">
        <v>1</v>
      </c>
      <c r="CX381">
        <v>1</v>
      </c>
    </row>
    <row r="382" spans="1:175" x14ac:dyDescent="0.25">
      <c r="A382" t="s">
        <v>91</v>
      </c>
      <c r="B382" t="s">
        <v>54</v>
      </c>
      <c r="C382" s="3">
        <v>23.1</v>
      </c>
      <c r="D382" s="3">
        <v>113.45</v>
      </c>
      <c r="E382" t="s">
        <v>12</v>
      </c>
      <c r="F382" t="s">
        <v>22</v>
      </c>
      <c r="G382" t="s">
        <v>76</v>
      </c>
      <c r="I382" t="s">
        <v>12</v>
      </c>
      <c r="J382" t="s">
        <v>15</v>
      </c>
      <c r="K382" t="s">
        <v>12</v>
      </c>
      <c r="L382" t="s">
        <v>493</v>
      </c>
      <c r="M382" t="s">
        <v>951</v>
      </c>
      <c r="O382">
        <v>101.7</v>
      </c>
      <c r="P382">
        <v>11.4</v>
      </c>
      <c r="DB382">
        <v>1</v>
      </c>
      <c r="DC382">
        <v>1</v>
      </c>
    </row>
    <row r="383" spans="1:175" x14ac:dyDescent="0.25">
      <c r="A383" t="s">
        <v>91</v>
      </c>
      <c r="B383" t="s">
        <v>54</v>
      </c>
      <c r="C383" s="3">
        <v>23.28</v>
      </c>
      <c r="D383" s="3">
        <v>113.3</v>
      </c>
      <c r="E383" t="s">
        <v>12</v>
      </c>
      <c r="F383" t="s">
        <v>21</v>
      </c>
      <c r="G383" t="s">
        <v>76</v>
      </c>
      <c r="I383" t="s">
        <v>12</v>
      </c>
      <c r="J383" t="s">
        <v>15</v>
      </c>
      <c r="K383" t="s">
        <v>12</v>
      </c>
      <c r="L383" t="s">
        <v>493</v>
      </c>
      <c r="M383" t="s">
        <v>951</v>
      </c>
      <c r="O383">
        <v>138.6</v>
      </c>
      <c r="P383">
        <v>111.6</v>
      </c>
      <c r="CW383">
        <v>1</v>
      </c>
      <c r="CX383">
        <v>1</v>
      </c>
    </row>
    <row r="384" spans="1:175" x14ac:dyDescent="0.25">
      <c r="A384" t="s">
        <v>91</v>
      </c>
      <c r="B384" t="s">
        <v>54</v>
      </c>
      <c r="C384" s="3">
        <v>23.28</v>
      </c>
      <c r="D384" s="3">
        <v>113.3</v>
      </c>
      <c r="E384" t="s">
        <v>12</v>
      </c>
      <c r="F384" t="s">
        <v>21</v>
      </c>
      <c r="G384" t="s">
        <v>76</v>
      </c>
      <c r="I384" t="s">
        <v>12</v>
      </c>
      <c r="J384" t="s">
        <v>15</v>
      </c>
      <c r="K384" t="s">
        <v>12</v>
      </c>
      <c r="L384" t="s">
        <v>493</v>
      </c>
      <c r="M384" t="s">
        <v>951</v>
      </c>
      <c r="O384">
        <v>46.9</v>
      </c>
      <c r="P384">
        <v>78.2</v>
      </c>
      <c r="DB384">
        <v>1</v>
      </c>
      <c r="DC384">
        <v>1</v>
      </c>
    </row>
    <row r="385" spans="1:186" x14ac:dyDescent="0.25">
      <c r="A385" t="s">
        <v>91</v>
      </c>
      <c r="B385" t="s">
        <v>54</v>
      </c>
      <c r="C385" s="3">
        <v>23.09</v>
      </c>
      <c r="D385" s="3">
        <v>113.29</v>
      </c>
      <c r="E385" t="s">
        <v>12</v>
      </c>
      <c r="F385" t="s">
        <v>77</v>
      </c>
      <c r="G385" t="s">
        <v>76</v>
      </c>
      <c r="I385" t="s">
        <v>12</v>
      </c>
      <c r="J385" t="s">
        <v>15</v>
      </c>
      <c r="K385" t="s">
        <v>12</v>
      </c>
      <c r="L385" t="s">
        <v>493</v>
      </c>
      <c r="M385" t="s">
        <v>951</v>
      </c>
      <c r="O385">
        <v>90.5</v>
      </c>
      <c r="P385">
        <v>41</v>
      </c>
      <c r="CW385">
        <v>1</v>
      </c>
      <c r="CX385">
        <v>1</v>
      </c>
    </row>
    <row r="386" spans="1:186" x14ac:dyDescent="0.25">
      <c r="A386" t="s">
        <v>91</v>
      </c>
      <c r="B386" t="s">
        <v>54</v>
      </c>
      <c r="C386" s="3">
        <v>23.09</v>
      </c>
      <c r="D386" s="3">
        <v>113.29</v>
      </c>
      <c r="E386" t="s">
        <v>12</v>
      </c>
      <c r="F386" t="s">
        <v>77</v>
      </c>
      <c r="G386" t="s">
        <v>76</v>
      </c>
      <c r="I386" t="s">
        <v>12</v>
      </c>
      <c r="J386" t="s">
        <v>15</v>
      </c>
      <c r="K386" t="s">
        <v>12</v>
      </c>
      <c r="L386" t="s">
        <v>493</v>
      </c>
      <c r="M386" t="s">
        <v>951</v>
      </c>
      <c r="O386">
        <v>66.3</v>
      </c>
      <c r="P386">
        <v>18.899999999999999</v>
      </c>
      <c r="DB386">
        <v>1</v>
      </c>
      <c r="DC386">
        <v>1</v>
      </c>
    </row>
    <row r="387" spans="1:186" x14ac:dyDescent="0.25">
      <c r="A387" t="s">
        <v>91</v>
      </c>
      <c r="B387" t="s">
        <v>54</v>
      </c>
      <c r="C387" s="3">
        <f>22+37/60</f>
        <v>22.616666666666667</v>
      </c>
      <c r="D387" s="3">
        <f>113+35/60</f>
        <v>113.58333333333333</v>
      </c>
      <c r="E387" t="s">
        <v>12</v>
      </c>
      <c r="F387" t="s">
        <v>77</v>
      </c>
      <c r="G387" t="s">
        <v>106</v>
      </c>
      <c r="H387">
        <v>40</v>
      </c>
      <c r="I387" t="s">
        <v>12</v>
      </c>
      <c r="J387" t="s">
        <v>12</v>
      </c>
      <c r="K387" t="s">
        <v>12</v>
      </c>
      <c r="L387" t="s">
        <v>454</v>
      </c>
      <c r="M387" t="s">
        <v>971</v>
      </c>
      <c r="O387">
        <v>58</v>
      </c>
      <c r="P387">
        <v>24</v>
      </c>
      <c r="ED387">
        <v>1</v>
      </c>
    </row>
    <row r="388" spans="1:186" x14ac:dyDescent="0.25">
      <c r="A388" t="s">
        <v>91</v>
      </c>
      <c r="B388" t="s">
        <v>54</v>
      </c>
      <c r="C388" s="3">
        <v>23.1</v>
      </c>
      <c r="D388" s="3">
        <v>113.26</v>
      </c>
      <c r="E388" t="s">
        <v>12</v>
      </c>
      <c r="F388" t="s">
        <v>77</v>
      </c>
      <c r="G388" t="s">
        <v>97</v>
      </c>
      <c r="H388">
        <v>45</v>
      </c>
      <c r="I388" t="s">
        <v>15</v>
      </c>
      <c r="J388" t="s">
        <v>15</v>
      </c>
      <c r="K388" t="s">
        <v>12</v>
      </c>
      <c r="L388" t="s">
        <v>363</v>
      </c>
      <c r="M388" t="s">
        <v>1018</v>
      </c>
      <c r="O388">
        <v>59</v>
      </c>
      <c r="P388">
        <v>28</v>
      </c>
      <c r="DY388">
        <v>0.5</v>
      </c>
    </row>
    <row r="389" spans="1:186" x14ac:dyDescent="0.25">
      <c r="A389" t="s">
        <v>91</v>
      </c>
      <c r="B389" t="s">
        <v>54</v>
      </c>
      <c r="C389" s="3">
        <f>23+7/60</f>
        <v>23.116666666666667</v>
      </c>
      <c r="D389" s="3">
        <f>113+21/60</f>
        <v>113.35</v>
      </c>
      <c r="E389" t="s">
        <v>15</v>
      </c>
      <c r="F389" t="s">
        <v>77</v>
      </c>
      <c r="G389" t="s">
        <v>76</v>
      </c>
      <c r="I389" t="s">
        <v>15</v>
      </c>
      <c r="J389" t="s">
        <v>15</v>
      </c>
      <c r="K389" t="s">
        <v>15</v>
      </c>
      <c r="L389" t="s">
        <v>224</v>
      </c>
      <c r="M389" t="s">
        <v>1071</v>
      </c>
      <c r="O389">
        <v>79.2</v>
      </c>
      <c r="P389">
        <v>34.200000000000003</v>
      </c>
      <c r="FH389">
        <v>1</v>
      </c>
    </row>
    <row r="390" spans="1:186" x14ac:dyDescent="0.25">
      <c r="A390" t="s">
        <v>91</v>
      </c>
      <c r="B390" t="s">
        <v>54</v>
      </c>
      <c r="C390" s="3">
        <v>23.1</v>
      </c>
      <c r="D390" s="3">
        <v>113.26</v>
      </c>
      <c r="E390" t="s">
        <v>12</v>
      </c>
      <c r="F390" t="s">
        <v>8</v>
      </c>
      <c r="G390" t="s">
        <v>76</v>
      </c>
      <c r="H390">
        <v>50</v>
      </c>
      <c r="I390" t="s">
        <v>15</v>
      </c>
      <c r="J390" t="s">
        <v>15</v>
      </c>
      <c r="K390" t="s">
        <v>15</v>
      </c>
      <c r="L390" t="s">
        <v>157</v>
      </c>
      <c r="M390" t="s">
        <v>1098</v>
      </c>
      <c r="O390">
        <v>97.54</v>
      </c>
      <c r="P390">
        <v>31.88</v>
      </c>
      <c r="EB390">
        <v>1</v>
      </c>
      <c r="EC390">
        <v>0.5</v>
      </c>
    </row>
    <row r="391" spans="1:186" x14ac:dyDescent="0.25">
      <c r="A391" t="s">
        <v>91</v>
      </c>
      <c r="B391" t="s">
        <v>54</v>
      </c>
      <c r="C391" s="3">
        <v>23.02</v>
      </c>
      <c r="D391" s="3">
        <v>113.25</v>
      </c>
      <c r="E391" t="s">
        <v>12</v>
      </c>
      <c r="F391" t="s">
        <v>77</v>
      </c>
      <c r="G391" t="s">
        <v>95</v>
      </c>
      <c r="H391">
        <v>50</v>
      </c>
      <c r="I391" t="s">
        <v>12</v>
      </c>
      <c r="J391" t="s">
        <v>12</v>
      </c>
      <c r="K391" t="s">
        <v>15</v>
      </c>
      <c r="L391" t="s">
        <v>96</v>
      </c>
      <c r="M391" t="s">
        <v>1102</v>
      </c>
      <c r="O391">
        <f>(160+79)/2</f>
        <v>119.5</v>
      </c>
      <c r="P391">
        <f>(97+44)/2</f>
        <v>70.5</v>
      </c>
      <c r="Q391">
        <v>1</v>
      </c>
      <c r="R391">
        <v>1</v>
      </c>
      <c r="S391">
        <v>1</v>
      </c>
      <c r="T391">
        <v>1</v>
      </c>
      <c r="U391">
        <v>1</v>
      </c>
      <c r="V391">
        <v>1</v>
      </c>
      <c r="W391">
        <v>1</v>
      </c>
      <c r="X391">
        <v>1</v>
      </c>
      <c r="Y391">
        <v>1</v>
      </c>
      <c r="Z391">
        <v>1</v>
      </c>
      <c r="AA391">
        <v>1</v>
      </c>
      <c r="AB391">
        <v>1</v>
      </c>
    </row>
    <row r="392" spans="1:186" x14ac:dyDescent="0.25">
      <c r="A392" t="s">
        <v>91</v>
      </c>
      <c r="B392" t="s">
        <v>54</v>
      </c>
      <c r="C392" s="3">
        <v>23.02</v>
      </c>
      <c r="D392" s="3">
        <v>113.25</v>
      </c>
      <c r="E392" t="s">
        <v>12</v>
      </c>
      <c r="F392" t="s">
        <v>77</v>
      </c>
      <c r="G392" t="s">
        <v>95</v>
      </c>
      <c r="H392">
        <v>50</v>
      </c>
      <c r="I392" t="s">
        <v>12</v>
      </c>
      <c r="J392" t="s">
        <v>12</v>
      </c>
      <c r="K392" t="s">
        <v>15</v>
      </c>
      <c r="L392" t="s">
        <v>96</v>
      </c>
      <c r="M392" t="s">
        <v>1102</v>
      </c>
      <c r="O392">
        <f>(140+62)/2</f>
        <v>101</v>
      </c>
      <c r="P392">
        <f>(85+27)/2</f>
        <v>56</v>
      </c>
      <c r="AC392">
        <v>1</v>
      </c>
      <c r="AD392">
        <v>1</v>
      </c>
      <c r="AE392">
        <v>1</v>
      </c>
      <c r="AF392">
        <v>1</v>
      </c>
      <c r="AG392">
        <v>1</v>
      </c>
      <c r="AH392">
        <v>1</v>
      </c>
      <c r="AI392">
        <v>1</v>
      </c>
      <c r="AJ392">
        <v>1</v>
      </c>
      <c r="AK392">
        <v>1</v>
      </c>
      <c r="AL392">
        <v>1</v>
      </c>
      <c r="AM392">
        <v>1</v>
      </c>
      <c r="AN392">
        <v>1</v>
      </c>
    </row>
    <row r="393" spans="1:186" x14ac:dyDescent="0.25">
      <c r="A393" t="s">
        <v>91</v>
      </c>
      <c r="B393" t="s">
        <v>54</v>
      </c>
      <c r="C393" s="3">
        <f>23+15/60</f>
        <v>23.25</v>
      </c>
      <c r="D393" s="3">
        <f>113+36/60</f>
        <v>113.6</v>
      </c>
      <c r="E393" t="s">
        <v>15</v>
      </c>
      <c r="F393" t="s">
        <v>21</v>
      </c>
      <c r="G393" t="s">
        <v>106</v>
      </c>
      <c r="H393">
        <v>40</v>
      </c>
      <c r="I393" t="s">
        <v>15</v>
      </c>
      <c r="J393" t="s">
        <v>15</v>
      </c>
      <c r="K393" t="s">
        <v>15</v>
      </c>
      <c r="L393" t="s">
        <v>121</v>
      </c>
      <c r="M393" t="s">
        <v>1113</v>
      </c>
      <c r="O393">
        <v>81.7</v>
      </c>
      <c r="P393">
        <v>25.6</v>
      </c>
      <c r="GB393">
        <v>1</v>
      </c>
      <c r="GC393">
        <v>1</v>
      </c>
      <c r="GD393">
        <v>1</v>
      </c>
    </row>
    <row r="394" spans="1:186" x14ac:dyDescent="0.25">
      <c r="A394" t="s">
        <v>91</v>
      </c>
      <c r="B394" t="s">
        <v>54</v>
      </c>
      <c r="C394" s="3">
        <v>23.02</v>
      </c>
      <c r="D394" s="3">
        <v>113.25</v>
      </c>
      <c r="E394" t="s">
        <v>12</v>
      </c>
      <c r="F394" t="s">
        <v>20</v>
      </c>
      <c r="G394" t="s">
        <v>60</v>
      </c>
      <c r="I394" t="s">
        <v>12</v>
      </c>
      <c r="J394" t="s">
        <v>12</v>
      </c>
      <c r="K394" t="s">
        <v>12</v>
      </c>
      <c r="L394" t="s">
        <v>111</v>
      </c>
      <c r="M394" t="s">
        <v>1122</v>
      </c>
      <c r="O394">
        <v>69</v>
      </c>
      <c r="P394">
        <v>59</v>
      </c>
      <c r="EY394">
        <v>0.5</v>
      </c>
    </row>
    <row r="395" spans="1:186" x14ac:dyDescent="0.25">
      <c r="A395" t="s">
        <v>91</v>
      </c>
      <c r="B395" t="s">
        <v>54</v>
      </c>
      <c r="C395" s="3">
        <v>23.02</v>
      </c>
      <c r="D395" s="3">
        <v>113.25</v>
      </c>
      <c r="E395" t="s">
        <v>12</v>
      </c>
      <c r="F395" t="s">
        <v>77</v>
      </c>
      <c r="G395" t="s">
        <v>60</v>
      </c>
      <c r="I395" t="s">
        <v>12</v>
      </c>
      <c r="J395" t="s">
        <v>12</v>
      </c>
      <c r="K395" t="s">
        <v>12</v>
      </c>
      <c r="L395" t="s">
        <v>111</v>
      </c>
      <c r="M395" t="s">
        <v>1122</v>
      </c>
      <c r="O395">
        <v>69</v>
      </c>
      <c r="P395">
        <v>32</v>
      </c>
      <c r="EY395">
        <v>0.5</v>
      </c>
    </row>
    <row r="396" spans="1:186" x14ac:dyDescent="0.25">
      <c r="A396" t="s">
        <v>719</v>
      </c>
      <c r="B396" t="s">
        <v>54</v>
      </c>
      <c r="C396" s="3">
        <v>23.1</v>
      </c>
      <c r="D396" s="3">
        <v>113.2</v>
      </c>
      <c r="E396" t="s">
        <v>15</v>
      </c>
      <c r="F396" t="s">
        <v>77</v>
      </c>
      <c r="G396" t="s">
        <v>716</v>
      </c>
      <c r="I396" t="s">
        <v>15</v>
      </c>
      <c r="J396" t="s">
        <v>12</v>
      </c>
      <c r="K396" t="s">
        <v>12</v>
      </c>
      <c r="L396" t="s">
        <v>761</v>
      </c>
      <c r="M396" t="s">
        <v>819</v>
      </c>
      <c r="O396">
        <v>156</v>
      </c>
      <c r="P396">
        <v>93.6</v>
      </c>
      <c r="DI396">
        <v>1</v>
      </c>
    </row>
    <row r="397" spans="1:186" x14ac:dyDescent="0.25">
      <c r="A397" t="s">
        <v>719</v>
      </c>
      <c r="B397" t="s">
        <v>54</v>
      </c>
      <c r="C397" s="3">
        <v>23.1</v>
      </c>
      <c r="D397" s="3">
        <v>113.2</v>
      </c>
      <c r="E397" t="s">
        <v>15</v>
      </c>
      <c r="F397" t="s">
        <v>77</v>
      </c>
      <c r="G397" t="s">
        <v>716</v>
      </c>
      <c r="I397" t="s">
        <v>15</v>
      </c>
      <c r="J397" t="s">
        <v>12</v>
      </c>
      <c r="K397" t="s">
        <v>12</v>
      </c>
      <c r="L397" t="s">
        <v>761</v>
      </c>
      <c r="M397" t="s">
        <v>819</v>
      </c>
      <c r="O397">
        <v>49.1</v>
      </c>
      <c r="P397">
        <v>9.3000000000000007</v>
      </c>
      <c r="DN397">
        <v>1</v>
      </c>
      <c r="DO397">
        <v>1</v>
      </c>
    </row>
    <row r="398" spans="1:186" x14ac:dyDescent="0.25">
      <c r="A398" t="s">
        <v>87</v>
      </c>
      <c r="B398" t="s">
        <v>54</v>
      </c>
      <c r="C398" s="3">
        <f>39+41/60+4/3600</f>
        <v>39.684444444444438</v>
      </c>
      <c r="D398" s="3">
        <f>108+36/60+4/3600</f>
        <v>108.60111111111111</v>
      </c>
      <c r="E398" t="s">
        <v>15</v>
      </c>
      <c r="F398" t="s">
        <v>20</v>
      </c>
      <c r="G398" t="s">
        <v>76</v>
      </c>
      <c r="H398">
        <v>45</v>
      </c>
      <c r="I398" t="s">
        <v>12</v>
      </c>
      <c r="J398" t="s">
        <v>12</v>
      </c>
      <c r="K398" t="s">
        <v>12</v>
      </c>
      <c r="L398" t="s">
        <v>86</v>
      </c>
      <c r="M398" t="s">
        <v>1132</v>
      </c>
      <c r="O398">
        <v>69.19</v>
      </c>
      <c r="P398">
        <v>57.76</v>
      </c>
      <c r="EO398">
        <v>1</v>
      </c>
    </row>
    <row r="399" spans="1:186" x14ac:dyDescent="0.25">
      <c r="A399" t="s">
        <v>570</v>
      </c>
      <c r="B399" t="s">
        <v>54</v>
      </c>
      <c r="C399" s="3">
        <v>30.2</v>
      </c>
      <c r="D399" s="3">
        <v>120.1</v>
      </c>
      <c r="E399" t="s">
        <v>15</v>
      </c>
      <c r="F399" t="s">
        <v>77</v>
      </c>
      <c r="G399" t="s">
        <v>716</v>
      </c>
      <c r="I399" t="s">
        <v>15</v>
      </c>
      <c r="J399" t="s">
        <v>12</v>
      </c>
      <c r="K399" t="s">
        <v>12</v>
      </c>
      <c r="L399" t="s">
        <v>761</v>
      </c>
      <c r="M399" t="s">
        <v>819</v>
      </c>
      <c r="O399">
        <v>168.6</v>
      </c>
      <c r="P399">
        <v>54.6</v>
      </c>
      <c r="DI399">
        <v>1</v>
      </c>
    </row>
    <row r="400" spans="1:186" x14ac:dyDescent="0.25">
      <c r="A400" t="s">
        <v>570</v>
      </c>
      <c r="B400" t="s">
        <v>54</v>
      </c>
      <c r="C400" s="3">
        <v>30.2</v>
      </c>
      <c r="D400" s="3">
        <v>120.1</v>
      </c>
      <c r="E400" t="s">
        <v>15</v>
      </c>
      <c r="F400" t="s">
        <v>77</v>
      </c>
      <c r="G400" t="s">
        <v>716</v>
      </c>
      <c r="I400" t="s">
        <v>15</v>
      </c>
      <c r="J400" t="s">
        <v>12</v>
      </c>
      <c r="K400" t="s">
        <v>12</v>
      </c>
      <c r="L400" t="s">
        <v>761</v>
      </c>
      <c r="M400" t="s">
        <v>819</v>
      </c>
      <c r="O400">
        <v>90.6</v>
      </c>
      <c r="P400">
        <v>40.799999999999997</v>
      </c>
      <c r="DN400">
        <v>1</v>
      </c>
      <c r="DO400">
        <v>1</v>
      </c>
    </row>
    <row r="401" spans="1:184" x14ac:dyDescent="0.25">
      <c r="A401" t="s">
        <v>570</v>
      </c>
      <c r="B401" t="s">
        <v>54</v>
      </c>
      <c r="C401" s="3">
        <v>30.29</v>
      </c>
      <c r="D401" s="3">
        <v>120.16</v>
      </c>
      <c r="E401" t="s">
        <v>12</v>
      </c>
      <c r="F401" t="s">
        <v>19</v>
      </c>
      <c r="G401" t="s">
        <v>571</v>
      </c>
      <c r="I401" t="s">
        <v>12</v>
      </c>
      <c r="J401" t="s">
        <v>12</v>
      </c>
      <c r="K401" t="s">
        <v>12</v>
      </c>
      <c r="L401" t="s">
        <v>572</v>
      </c>
      <c r="M401" t="s">
        <v>905</v>
      </c>
      <c r="O401">
        <v>105</v>
      </c>
      <c r="ES401">
        <v>1</v>
      </c>
      <c r="FE401">
        <v>1</v>
      </c>
      <c r="FQ401">
        <v>1</v>
      </c>
    </row>
    <row r="402" spans="1:184" x14ac:dyDescent="0.25">
      <c r="A402" t="s">
        <v>570</v>
      </c>
      <c r="B402" t="s">
        <v>54</v>
      </c>
      <c r="C402" s="3">
        <v>30.29</v>
      </c>
      <c r="D402" s="3">
        <v>120.16</v>
      </c>
      <c r="E402" t="s">
        <v>12</v>
      </c>
      <c r="F402" t="s">
        <v>19</v>
      </c>
      <c r="G402" t="s">
        <v>571</v>
      </c>
      <c r="I402" t="s">
        <v>12</v>
      </c>
      <c r="J402" t="s">
        <v>12</v>
      </c>
      <c r="K402" t="s">
        <v>12</v>
      </c>
      <c r="L402" t="s">
        <v>572</v>
      </c>
      <c r="M402" t="s">
        <v>905</v>
      </c>
      <c r="O402">
        <v>55</v>
      </c>
      <c r="ET402">
        <v>1</v>
      </c>
      <c r="FF402">
        <v>1</v>
      </c>
      <c r="FR402">
        <v>1</v>
      </c>
    </row>
    <row r="403" spans="1:184" x14ac:dyDescent="0.25">
      <c r="A403" t="s">
        <v>570</v>
      </c>
      <c r="B403" t="s">
        <v>54</v>
      </c>
      <c r="C403" s="3">
        <v>30.29</v>
      </c>
      <c r="D403" s="3">
        <v>120.16</v>
      </c>
      <c r="E403" t="s">
        <v>12</v>
      </c>
      <c r="F403" t="s">
        <v>19</v>
      </c>
      <c r="G403" t="s">
        <v>571</v>
      </c>
      <c r="I403" t="s">
        <v>12</v>
      </c>
      <c r="J403" t="s">
        <v>12</v>
      </c>
      <c r="K403" t="s">
        <v>12</v>
      </c>
      <c r="L403" t="s">
        <v>572</v>
      </c>
      <c r="M403" t="s">
        <v>905</v>
      </c>
      <c r="O403">
        <v>105</v>
      </c>
      <c r="EU403">
        <v>1</v>
      </c>
      <c r="FG403">
        <v>1</v>
      </c>
      <c r="FS403">
        <v>1</v>
      </c>
    </row>
    <row r="404" spans="1:184" x14ac:dyDescent="0.25">
      <c r="A404" t="s">
        <v>570</v>
      </c>
      <c r="B404" t="s">
        <v>54</v>
      </c>
      <c r="C404" s="3">
        <v>30.29</v>
      </c>
      <c r="D404" s="3">
        <v>120.16</v>
      </c>
      <c r="E404" t="s">
        <v>12</v>
      </c>
      <c r="F404" t="s">
        <v>19</v>
      </c>
      <c r="G404" t="s">
        <v>571</v>
      </c>
      <c r="I404" t="s">
        <v>12</v>
      </c>
      <c r="J404" t="s">
        <v>12</v>
      </c>
      <c r="K404" t="s">
        <v>12</v>
      </c>
      <c r="L404" t="s">
        <v>572</v>
      </c>
      <c r="M404" t="s">
        <v>905</v>
      </c>
      <c r="O404">
        <v>75</v>
      </c>
      <c r="EV404">
        <v>1</v>
      </c>
      <c r="FH404">
        <v>1</v>
      </c>
      <c r="FT404">
        <v>1</v>
      </c>
    </row>
    <row r="405" spans="1:184" x14ac:dyDescent="0.25">
      <c r="A405" t="s">
        <v>570</v>
      </c>
      <c r="B405" t="s">
        <v>54</v>
      </c>
      <c r="C405" s="3">
        <v>30.29</v>
      </c>
      <c r="D405" s="3">
        <v>120.16</v>
      </c>
      <c r="E405" t="s">
        <v>12</v>
      </c>
      <c r="F405" t="s">
        <v>19</v>
      </c>
      <c r="G405" t="s">
        <v>571</v>
      </c>
      <c r="I405" t="s">
        <v>12</v>
      </c>
      <c r="J405" t="s">
        <v>12</v>
      </c>
      <c r="K405" t="s">
        <v>12</v>
      </c>
      <c r="L405" t="s">
        <v>572</v>
      </c>
      <c r="M405" t="s">
        <v>905</v>
      </c>
      <c r="O405">
        <v>70</v>
      </c>
      <c r="EW405">
        <v>1</v>
      </c>
      <c r="FI405">
        <v>1</v>
      </c>
      <c r="FU405">
        <v>1</v>
      </c>
    </row>
    <row r="406" spans="1:184" x14ac:dyDescent="0.25">
      <c r="A406" t="s">
        <v>570</v>
      </c>
      <c r="B406" t="s">
        <v>54</v>
      </c>
      <c r="C406" s="3">
        <v>30.29</v>
      </c>
      <c r="D406" s="3">
        <v>120.16</v>
      </c>
      <c r="E406" t="s">
        <v>12</v>
      </c>
      <c r="F406" t="s">
        <v>19</v>
      </c>
      <c r="G406" t="s">
        <v>571</v>
      </c>
      <c r="I406" t="s">
        <v>12</v>
      </c>
      <c r="J406" t="s">
        <v>12</v>
      </c>
      <c r="K406" t="s">
        <v>12</v>
      </c>
      <c r="L406" t="s">
        <v>572</v>
      </c>
      <c r="M406" t="s">
        <v>905</v>
      </c>
      <c r="O406">
        <v>70</v>
      </c>
      <c r="EX406">
        <v>1</v>
      </c>
      <c r="FJ406">
        <v>1</v>
      </c>
      <c r="FV406">
        <v>1</v>
      </c>
    </row>
    <row r="407" spans="1:184" x14ac:dyDescent="0.25">
      <c r="A407" t="s">
        <v>570</v>
      </c>
      <c r="B407" t="s">
        <v>54</v>
      </c>
      <c r="C407" s="3">
        <v>30.29</v>
      </c>
      <c r="D407" s="3">
        <v>120.16</v>
      </c>
      <c r="E407" t="s">
        <v>12</v>
      </c>
      <c r="F407" t="s">
        <v>19</v>
      </c>
      <c r="G407" t="s">
        <v>571</v>
      </c>
      <c r="I407" t="s">
        <v>12</v>
      </c>
      <c r="J407" t="s">
        <v>12</v>
      </c>
      <c r="K407" t="s">
        <v>12</v>
      </c>
      <c r="L407" t="s">
        <v>572</v>
      </c>
      <c r="M407" t="s">
        <v>905</v>
      </c>
      <c r="O407">
        <v>40</v>
      </c>
      <c r="EY407">
        <v>1</v>
      </c>
      <c r="FK407">
        <v>1</v>
      </c>
      <c r="FW407">
        <v>1</v>
      </c>
    </row>
    <row r="408" spans="1:184" x14ac:dyDescent="0.25">
      <c r="A408" t="s">
        <v>570</v>
      </c>
      <c r="B408" t="s">
        <v>54</v>
      </c>
      <c r="C408" s="3">
        <v>30.29</v>
      </c>
      <c r="D408" s="3">
        <v>120.16</v>
      </c>
      <c r="E408" t="s">
        <v>12</v>
      </c>
      <c r="F408" t="s">
        <v>19</v>
      </c>
      <c r="G408" t="s">
        <v>571</v>
      </c>
      <c r="I408" t="s">
        <v>12</v>
      </c>
      <c r="J408" t="s">
        <v>12</v>
      </c>
      <c r="K408" t="s">
        <v>12</v>
      </c>
      <c r="L408" t="s">
        <v>572</v>
      </c>
      <c r="M408" t="s">
        <v>905</v>
      </c>
      <c r="O408">
        <v>65</v>
      </c>
      <c r="EZ408">
        <v>1</v>
      </c>
      <c r="FL408">
        <v>1</v>
      </c>
      <c r="FX408">
        <v>1</v>
      </c>
    </row>
    <row r="409" spans="1:184" x14ac:dyDescent="0.25">
      <c r="A409" t="s">
        <v>570</v>
      </c>
      <c r="B409" t="s">
        <v>54</v>
      </c>
      <c r="C409" s="3">
        <v>30.29</v>
      </c>
      <c r="D409" s="3">
        <v>120.16</v>
      </c>
      <c r="E409" t="s">
        <v>12</v>
      </c>
      <c r="F409" t="s">
        <v>19</v>
      </c>
      <c r="G409" t="s">
        <v>571</v>
      </c>
      <c r="I409" t="s">
        <v>12</v>
      </c>
      <c r="J409" t="s">
        <v>12</v>
      </c>
      <c r="K409" t="s">
        <v>12</v>
      </c>
      <c r="L409" t="s">
        <v>572</v>
      </c>
      <c r="M409" t="s">
        <v>905</v>
      </c>
      <c r="O409">
        <v>70</v>
      </c>
      <c r="FA409">
        <v>1</v>
      </c>
      <c r="FM409">
        <v>1</v>
      </c>
      <c r="FY409">
        <v>1</v>
      </c>
    </row>
    <row r="410" spans="1:184" x14ac:dyDescent="0.25">
      <c r="A410" t="s">
        <v>570</v>
      </c>
      <c r="B410" t="s">
        <v>54</v>
      </c>
      <c r="C410" s="3">
        <v>30.29</v>
      </c>
      <c r="D410" s="3">
        <v>120.16</v>
      </c>
      <c r="E410" t="s">
        <v>12</v>
      </c>
      <c r="F410" t="s">
        <v>19</v>
      </c>
      <c r="G410" t="s">
        <v>571</v>
      </c>
      <c r="I410" t="s">
        <v>12</v>
      </c>
      <c r="J410" t="s">
        <v>12</v>
      </c>
      <c r="K410" t="s">
        <v>12</v>
      </c>
      <c r="L410" t="s">
        <v>572</v>
      </c>
      <c r="M410" t="s">
        <v>905</v>
      </c>
      <c r="O410">
        <v>95</v>
      </c>
      <c r="FB410">
        <v>1</v>
      </c>
      <c r="FN410">
        <v>1</v>
      </c>
      <c r="FZ410">
        <v>1</v>
      </c>
    </row>
    <row r="411" spans="1:184" x14ac:dyDescent="0.25">
      <c r="A411" t="s">
        <v>570</v>
      </c>
      <c r="B411" t="s">
        <v>54</v>
      </c>
      <c r="C411" s="3">
        <v>30.29</v>
      </c>
      <c r="D411" s="3">
        <v>120.16</v>
      </c>
      <c r="E411" t="s">
        <v>12</v>
      </c>
      <c r="F411" t="s">
        <v>19</v>
      </c>
      <c r="G411" t="s">
        <v>571</v>
      </c>
      <c r="I411" t="s">
        <v>12</v>
      </c>
      <c r="J411" t="s">
        <v>12</v>
      </c>
      <c r="K411" t="s">
        <v>12</v>
      </c>
      <c r="L411" t="s">
        <v>572</v>
      </c>
      <c r="M411" t="s">
        <v>905</v>
      </c>
      <c r="O411">
        <v>95</v>
      </c>
      <c r="FC411">
        <v>1</v>
      </c>
      <c r="FO411">
        <v>1</v>
      </c>
      <c r="GA411">
        <v>1</v>
      </c>
    </row>
    <row r="412" spans="1:184" x14ac:dyDescent="0.25">
      <c r="A412" t="s">
        <v>570</v>
      </c>
      <c r="B412" t="s">
        <v>54</v>
      </c>
      <c r="C412" s="3">
        <v>30.29</v>
      </c>
      <c r="D412" s="3">
        <v>120.16</v>
      </c>
      <c r="E412" t="s">
        <v>12</v>
      </c>
      <c r="F412" t="s">
        <v>19</v>
      </c>
      <c r="G412" t="s">
        <v>571</v>
      </c>
      <c r="I412" t="s">
        <v>12</v>
      </c>
      <c r="J412" t="s">
        <v>12</v>
      </c>
      <c r="K412" t="s">
        <v>12</v>
      </c>
      <c r="L412" t="s">
        <v>572</v>
      </c>
      <c r="M412" t="s">
        <v>905</v>
      </c>
      <c r="O412">
        <v>95</v>
      </c>
      <c r="FD412">
        <v>1</v>
      </c>
      <c r="FP412">
        <v>1</v>
      </c>
      <c r="GB412">
        <v>1</v>
      </c>
    </row>
    <row r="413" spans="1:184" x14ac:dyDescent="0.25">
      <c r="A413" t="s">
        <v>66</v>
      </c>
      <c r="B413" t="s">
        <v>54</v>
      </c>
      <c r="C413" s="3">
        <v>22.2</v>
      </c>
      <c r="D413" s="3">
        <v>114.1</v>
      </c>
      <c r="E413" t="s">
        <v>15</v>
      </c>
      <c r="F413" t="s">
        <v>77</v>
      </c>
      <c r="G413" t="s">
        <v>716</v>
      </c>
      <c r="I413" t="s">
        <v>15</v>
      </c>
      <c r="J413" t="s">
        <v>12</v>
      </c>
      <c r="K413" t="s">
        <v>12</v>
      </c>
      <c r="L413" t="s">
        <v>761</v>
      </c>
      <c r="M413" t="s">
        <v>819</v>
      </c>
      <c r="O413">
        <v>64</v>
      </c>
      <c r="P413">
        <v>29.6</v>
      </c>
      <c r="DI413">
        <v>1</v>
      </c>
    </row>
    <row r="414" spans="1:184" x14ac:dyDescent="0.25">
      <c r="A414" t="s">
        <v>66</v>
      </c>
      <c r="B414" t="s">
        <v>54</v>
      </c>
      <c r="C414" s="3">
        <v>22.2</v>
      </c>
      <c r="D414" s="3">
        <v>114.1</v>
      </c>
      <c r="E414" t="s">
        <v>15</v>
      </c>
      <c r="F414" t="s">
        <v>77</v>
      </c>
      <c r="G414" t="s">
        <v>716</v>
      </c>
      <c r="I414" t="s">
        <v>15</v>
      </c>
      <c r="J414" t="s">
        <v>12</v>
      </c>
      <c r="K414" t="s">
        <v>12</v>
      </c>
      <c r="L414" t="s">
        <v>761</v>
      </c>
      <c r="M414" t="s">
        <v>819</v>
      </c>
      <c r="O414">
        <v>40.1</v>
      </c>
      <c r="P414">
        <v>14</v>
      </c>
      <c r="DN414">
        <v>1</v>
      </c>
      <c r="DO414">
        <v>1</v>
      </c>
    </row>
    <row r="415" spans="1:184" x14ac:dyDescent="0.25">
      <c r="A415" t="s">
        <v>66</v>
      </c>
      <c r="B415" t="s">
        <v>54</v>
      </c>
      <c r="C415" s="3">
        <f>22+12/60</f>
        <v>22.2</v>
      </c>
      <c r="D415" s="3">
        <f>114+15/60</f>
        <v>114.25</v>
      </c>
      <c r="E415" t="s">
        <v>15</v>
      </c>
      <c r="F415" t="s">
        <v>20</v>
      </c>
      <c r="G415" t="s">
        <v>106</v>
      </c>
      <c r="I415" t="s">
        <v>15</v>
      </c>
      <c r="J415" t="s">
        <v>15</v>
      </c>
      <c r="K415" t="s">
        <v>12</v>
      </c>
      <c r="L415" t="s">
        <v>686</v>
      </c>
      <c r="M415" t="s">
        <v>841</v>
      </c>
      <c r="O415">
        <v>31</v>
      </c>
      <c r="P415">
        <v>22</v>
      </c>
      <c r="CK415">
        <v>1</v>
      </c>
      <c r="CL415">
        <v>1</v>
      </c>
      <c r="CM415">
        <v>1</v>
      </c>
      <c r="CN415">
        <v>1</v>
      </c>
      <c r="CO415">
        <v>1</v>
      </c>
      <c r="CP415">
        <v>1</v>
      </c>
      <c r="CQ415">
        <v>1</v>
      </c>
      <c r="CR415">
        <v>1</v>
      </c>
      <c r="CS415">
        <v>1</v>
      </c>
      <c r="CT415">
        <v>1</v>
      </c>
      <c r="CU415">
        <v>1</v>
      </c>
      <c r="CV415">
        <v>1</v>
      </c>
    </row>
    <row r="416" spans="1:184" x14ac:dyDescent="0.25">
      <c r="A416" t="s">
        <v>66</v>
      </c>
      <c r="B416" t="s">
        <v>54</v>
      </c>
      <c r="C416" s="3">
        <v>22.31</v>
      </c>
      <c r="D416" s="3">
        <v>114.17</v>
      </c>
      <c r="E416" t="s">
        <v>12</v>
      </c>
      <c r="F416" t="s">
        <v>20</v>
      </c>
      <c r="G416" t="s">
        <v>76</v>
      </c>
      <c r="H416">
        <v>50</v>
      </c>
      <c r="I416" t="s">
        <v>15</v>
      </c>
      <c r="J416" t="s">
        <v>12</v>
      </c>
      <c r="K416" t="s">
        <v>12</v>
      </c>
      <c r="L416" t="s">
        <v>649</v>
      </c>
      <c r="M416" t="s">
        <v>865</v>
      </c>
      <c r="O416">
        <v>31.9</v>
      </c>
      <c r="P416">
        <v>26</v>
      </c>
      <c r="EB416">
        <v>0.5</v>
      </c>
      <c r="EC416">
        <v>0.5</v>
      </c>
    </row>
    <row r="417" spans="1:139" x14ac:dyDescent="0.25">
      <c r="A417" t="s">
        <v>66</v>
      </c>
      <c r="B417" t="s">
        <v>54</v>
      </c>
      <c r="C417" s="3">
        <v>22.31</v>
      </c>
      <c r="D417" s="3">
        <v>114.17</v>
      </c>
      <c r="E417" t="s">
        <v>12</v>
      </c>
      <c r="F417" t="s">
        <v>20</v>
      </c>
      <c r="G417" t="s">
        <v>76</v>
      </c>
      <c r="H417">
        <v>50</v>
      </c>
      <c r="I417" t="s">
        <v>15</v>
      </c>
      <c r="J417" t="s">
        <v>12</v>
      </c>
      <c r="K417" t="s">
        <v>12</v>
      </c>
      <c r="L417" t="s">
        <v>649</v>
      </c>
      <c r="M417" t="s">
        <v>865</v>
      </c>
      <c r="O417">
        <v>34.799999999999997</v>
      </c>
      <c r="P417">
        <v>19.2</v>
      </c>
      <c r="EH417">
        <v>1</v>
      </c>
      <c r="EI417">
        <v>0.25</v>
      </c>
    </row>
    <row r="418" spans="1:139" x14ac:dyDescent="0.25">
      <c r="A418" t="s">
        <v>66</v>
      </c>
      <c r="B418" t="s">
        <v>54</v>
      </c>
      <c r="C418" s="3">
        <v>22.31</v>
      </c>
      <c r="D418" s="3">
        <v>114.17</v>
      </c>
      <c r="E418" t="s">
        <v>12</v>
      </c>
      <c r="F418" t="s">
        <v>77</v>
      </c>
      <c r="G418" t="s">
        <v>76</v>
      </c>
      <c r="H418">
        <v>50</v>
      </c>
      <c r="I418" t="s">
        <v>15</v>
      </c>
      <c r="J418" t="s">
        <v>12</v>
      </c>
      <c r="K418" t="s">
        <v>12</v>
      </c>
      <c r="L418" t="s">
        <v>649</v>
      </c>
      <c r="M418" t="s">
        <v>865</v>
      </c>
      <c r="O418">
        <v>54.8</v>
      </c>
      <c r="P418">
        <v>38.5</v>
      </c>
      <c r="EB418">
        <v>0.5</v>
      </c>
      <c r="EC418">
        <v>0.5</v>
      </c>
    </row>
    <row r="419" spans="1:139" x14ac:dyDescent="0.25">
      <c r="A419" t="s">
        <v>66</v>
      </c>
      <c r="B419" t="s">
        <v>54</v>
      </c>
      <c r="C419" s="3">
        <v>22.31</v>
      </c>
      <c r="D419" s="3">
        <v>114.17</v>
      </c>
      <c r="E419" t="s">
        <v>12</v>
      </c>
      <c r="F419" t="s">
        <v>77</v>
      </c>
      <c r="G419" t="s">
        <v>76</v>
      </c>
      <c r="H419">
        <v>50</v>
      </c>
      <c r="I419" t="s">
        <v>15</v>
      </c>
      <c r="J419" t="s">
        <v>12</v>
      </c>
      <c r="K419" t="s">
        <v>12</v>
      </c>
      <c r="L419" t="s">
        <v>649</v>
      </c>
      <c r="M419" t="s">
        <v>865</v>
      </c>
      <c r="O419">
        <v>50</v>
      </c>
      <c r="P419">
        <v>33.1</v>
      </c>
      <c r="EB419">
        <v>0.5</v>
      </c>
      <c r="EC419">
        <v>0.5</v>
      </c>
    </row>
    <row r="420" spans="1:139" x14ac:dyDescent="0.25">
      <c r="A420" t="s">
        <v>66</v>
      </c>
      <c r="B420" t="s">
        <v>54</v>
      </c>
      <c r="C420" s="3">
        <v>22.31</v>
      </c>
      <c r="D420" s="3">
        <v>114.17</v>
      </c>
      <c r="E420" t="s">
        <v>12</v>
      </c>
      <c r="F420" t="s">
        <v>77</v>
      </c>
      <c r="G420" t="s">
        <v>76</v>
      </c>
      <c r="H420">
        <v>50</v>
      </c>
      <c r="I420" t="s">
        <v>15</v>
      </c>
      <c r="J420" t="s">
        <v>12</v>
      </c>
      <c r="K420" t="s">
        <v>12</v>
      </c>
      <c r="L420" t="s">
        <v>649</v>
      </c>
      <c r="M420" t="s">
        <v>865</v>
      </c>
      <c r="O420">
        <v>56.4</v>
      </c>
      <c r="P420">
        <v>24.4</v>
      </c>
      <c r="EH420">
        <v>1</v>
      </c>
      <c r="EI420">
        <v>0.25</v>
      </c>
    </row>
    <row r="421" spans="1:139" x14ac:dyDescent="0.25">
      <c r="A421" t="s">
        <v>66</v>
      </c>
      <c r="B421" t="s">
        <v>54</v>
      </c>
      <c r="C421" s="3">
        <v>22.31</v>
      </c>
      <c r="D421" s="3">
        <v>114.17</v>
      </c>
      <c r="E421" t="s">
        <v>12</v>
      </c>
      <c r="F421" t="s">
        <v>77</v>
      </c>
      <c r="G421" t="s">
        <v>76</v>
      </c>
      <c r="H421">
        <v>50</v>
      </c>
      <c r="I421" t="s">
        <v>15</v>
      </c>
      <c r="J421" t="s">
        <v>12</v>
      </c>
      <c r="K421" t="s">
        <v>12</v>
      </c>
      <c r="L421" t="s">
        <v>649</v>
      </c>
      <c r="M421" t="s">
        <v>865</v>
      </c>
      <c r="O421">
        <v>49.9</v>
      </c>
      <c r="P421">
        <v>22.1</v>
      </c>
      <c r="EH421">
        <v>1</v>
      </c>
      <c r="EI421">
        <v>0.25</v>
      </c>
    </row>
    <row r="422" spans="1:139" x14ac:dyDescent="0.25">
      <c r="A422" t="s">
        <v>66</v>
      </c>
      <c r="B422" t="s">
        <v>54</v>
      </c>
      <c r="C422" s="3">
        <f>22+28.277/60</f>
        <v>22.471283333333332</v>
      </c>
      <c r="D422" s="3">
        <f>114+21.642/60</f>
        <v>114.36069999999999</v>
      </c>
      <c r="E422" t="s">
        <v>15</v>
      </c>
      <c r="F422" t="s">
        <v>20</v>
      </c>
      <c r="G422" t="s">
        <v>69</v>
      </c>
      <c r="I422" t="s">
        <v>15</v>
      </c>
      <c r="J422" t="s">
        <v>15</v>
      </c>
      <c r="K422" t="s">
        <v>15</v>
      </c>
      <c r="L422" t="s">
        <v>70</v>
      </c>
      <c r="M422" t="s">
        <v>884</v>
      </c>
      <c r="O422">
        <v>28.7</v>
      </c>
      <c r="P422">
        <v>13.8</v>
      </c>
      <c r="DF422">
        <v>1</v>
      </c>
      <c r="DH422">
        <v>1</v>
      </c>
      <c r="DK422">
        <v>1</v>
      </c>
      <c r="DN422">
        <v>1</v>
      </c>
    </row>
    <row r="423" spans="1:139" x14ac:dyDescent="0.25">
      <c r="A423" t="s">
        <v>66</v>
      </c>
      <c r="B423" t="s">
        <v>54</v>
      </c>
      <c r="C423" s="3">
        <f>22+17.324/60</f>
        <v>22.288733333333333</v>
      </c>
      <c r="D423" s="3">
        <f>113+56.62/60</f>
        <v>113.94366666666667</v>
      </c>
      <c r="E423" t="s">
        <v>15</v>
      </c>
      <c r="F423" t="s">
        <v>21</v>
      </c>
      <c r="G423" t="s">
        <v>69</v>
      </c>
      <c r="I423" t="s">
        <v>15</v>
      </c>
      <c r="J423" t="s">
        <v>15</v>
      </c>
      <c r="K423" t="s">
        <v>15</v>
      </c>
      <c r="L423" t="s">
        <v>70</v>
      </c>
      <c r="M423" t="s">
        <v>884</v>
      </c>
      <c r="O423">
        <v>32.5</v>
      </c>
      <c r="P423">
        <v>14.8</v>
      </c>
      <c r="DF423">
        <v>1</v>
      </c>
      <c r="DH423">
        <v>1</v>
      </c>
      <c r="DK423">
        <v>1</v>
      </c>
      <c r="DN423">
        <v>1</v>
      </c>
    </row>
    <row r="424" spans="1:139" x14ac:dyDescent="0.25">
      <c r="A424" t="s">
        <v>66</v>
      </c>
      <c r="B424" t="s">
        <v>54</v>
      </c>
      <c r="C424" s="3">
        <f>22+17.122/60</f>
        <v>22.285366666666668</v>
      </c>
      <c r="D424" s="3">
        <f>114+8.713/60</f>
        <v>114.14521666666667</v>
      </c>
      <c r="E424" t="s">
        <v>15</v>
      </c>
      <c r="F424" t="s">
        <v>21</v>
      </c>
      <c r="G424" t="s">
        <v>69</v>
      </c>
      <c r="I424" t="s">
        <v>15</v>
      </c>
      <c r="J424" t="s">
        <v>15</v>
      </c>
      <c r="K424" t="s">
        <v>15</v>
      </c>
      <c r="L424" t="s">
        <v>70</v>
      </c>
      <c r="M424" t="s">
        <v>884</v>
      </c>
      <c r="O424">
        <v>34.299999999999997</v>
      </c>
      <c r="P424">
        <v>14.1</v>
      </c>
      <c r="DF424">
        <v>1</v>
      </c>
      <c r="DH424">
        <v>1</v>
      </c>
      <c r="DK424">
        <v>1</v>
      </c>
      <c r="DN424">
        <v>1</v>
      </c>
    </row>
    <row r="425" spans="1:139" x14ac:dyDescent="0.25">
      <c r="A425" t="s">
        <v>66</v>
      </c>
      <c r="B425" t="s">
        <v>54</v>
      </c>
      <c r="C425" s="3">
        <v>22.2</v>
      </c>
      <c r="D425" s="3">
        <v>114.25</v>
      </c>
      <c r="E425" t="s">
        <v>34</v>
      </c>
      <c r="F425" t="s">
        <v>20</v>
      </c>
      <c r="G425" t="s">
        <v>76</v>
      </c>
      <c r="I425" t="s">
        <v>15</v>
      </c>
      <c r="J425" t="s">
        <v>15</v>
      </c>
      <c r="K425" t="s">
        <v>15</v>
      </c>
      <c r="L425" t="s">
        <v>574</v>
      </c>
      <c r="M425" t="s">
        <v>899</v>
      </c>
      <c r="O425">
        <v>42.37</v>
      </c>
      <c r="P425">
        <v>13.32</v>
      </c>
      <c r="CI425">
        <v>1</v>
      </c>
      <c r="CJ425">
        <v>1</v>
      </c>
      <c r="CK425">
        <v>1</v>
      </c>
      <c r="CL425">
        <v>1</v>
      </c>
    </row>
    <row r="426" spans="1:139" x14ac:dyDescent="0.25">
      <c r="A426" t="s">
        <v>66</v>
      </c>
      <c r="B426" t="s">
        <v>54</v>
      </c>
      <c r="C426" s="3">
        <v>22.3</v>
      </c>
      <c r="D426" s="3">
        <v>114.18</v>
      </c>
      <c r="E426" t="s">
        <v>34</v>
      </c>
      <c r="F426" t="s">
        <v>34</v>
      </c>
      <c r="G426" t="s">
        <v>76</v>
      </c>
      <c r="I426" t="s">
        <v>15</v>
      </c>
      <c r="J426" t="s">
        <v>15</v>
      </c>
      <c r="K426" t="s">
        <v>15</v>
      </c>
      <c r="L426" t="s">
        <v>574</v>
      </c>
      <c r="M426" t="s">
        <v>899</v>
      </c>
      <c r="O426">
        <v>57.38</v>
      </c>
      <c r="P426">
        <v>20.47</v>
      </c>
      <c r="CI426">
        <v>1</v>
      </c>
      <c r="CJ426">
        <v>1</v>
      </c>
      <c r="CK426">
        <v>1</v>
      </c>
      <c r="CL426">
        <v>1</v>
      </c>
    </row>
    <row r="427" spans="1:139" x14ac:dyDescent="0.25">
      <c r="A427" t="s">
        <v>66</v>
      </c>
      <c r="B427" t="s">
        <v>54</v>
      </c>
      <c r="C427" s="3">
        <v>22.31</v>
      </c>
      <c r="D427" s="3">
        <v>114.22</v>
      </c>
      <c r="E427" t="s">
        <v>34</v>
      </c>
      <c r="F427" t="s">
        <v>77</v>
      </c>
      <c r="G427" t="s">
        <v>76</v>
      </c>
      <c r="I427" t="s">
        <v>15</v>
      </c>
      <c r="J427" t="s">
        <v>15</v>
      </c>
      <c r="K427" t="s">
        <v>15</v>
      </c>
      <c r="L427" t="s">
        <v>574</v>
      </c>
      <c r="M427" t="s">
        <v>899</v>
      </c>
      <c r="O427">
        <v>50.92</v>
      </c>
      <c r="P427">
        <v>7.95</v>
      </c>
      <c r="CI427">
        <v>1</v>
      </c>
      <c r="CJ427">
        <v>1</v>
      </c>
      <c r="CK427">
        <v>1</v>
      </c>
      <c r="CL427">
        <v>1</v>
      </c>
    </row>
    <row r="428" spans="1:139" x14ac:dyDescent="0.25">
      <c r="A428" t="s">
        <v>66</v>
      </c>
      <c r="B428" t="s">
        <v>54</v>
      </c>
      <c r="C428" s="3">
        <v>22.31</v>
      </c>
      <c r="D428" s="3">
        <v>114.19</v>
      </c>
      <c r="E428" t="s">
        <v>34</v>
      </c>
      <c r="F428" t="s">
        <v>77</v>
      </c>
      <c r="G428" t="s">
        <v>76</v>
      </c>
      <c r="I428" t="s">
        <v>15</v>
      </c>
      <c r="J428" t="s">
        <v>15</v>
      </c>
      <c r="K428" t="s">
        <v>15</v>
      </c>
      <c r="L428" t="s">
        <v>573</v>
      </c>
      <c r="M428" t="s">
        <v>900</v>
      </c>
      <c r="O428">
        <v>41.73</v>
      </c>
      <c r="P428">
        <v>12.63</v>
      </c>
      <c r="CI428">
        <v>1</v>
      </c>
      <c r="CJ428">
        <v>1</v>
      </c>
      <c r="CK428">
        <v>1</v>
      </c>
      <c r="CL428">
        <v>1</v>
      </c>
      <c r="CP428">
        <v>1</v>
      </c>
      <c r="CQ428">
        <v>1</v>
      </c>
      <c r="CR428">
        <v>1</v>
      </c>
    </row>
    <row r="429" spans="1:139" x14ac:dyDescent="0.25">
      <c r="A429" t="s">
        <v>66</v>
      </c>
      <c r="B429" t="s">
        <v>54</v>
      </c>
      <c r="C429" s="3">
        <v>22.31</v>
      </c>
      <c r="D429" s="3">
        <v>114.22</v>
      </c>
      <c r="E429" t="s">
        <v>34</v>
      </c>
      <c r="F429" t="s">
        <v>77</v>
      </c>
      <c r="G429" t="s">
        <v>76</v>
      </c>
      <c r="I429" t="s">
        <v>15</v>
      </c>
      <c r="J429" t="s">
        <v>15</v>
      </c>
      <c r="K429" t="s">
        <v>15</v>
      </c>
      <c r="L429" t="s">
        <v>573</v>
      </c>
      <c r="M429" t="s">
        <v>900</v>
      </c>
      <c r="O429">
        <v>43.93</v>
      </c>
      <c r="P429">
        <v>21.08</v>
      </c>
      <c r="CI429">
        <v>1</v>
      </c>
      <c r="CJ429">
        <v>1</v>
      </c>
      <c r="CK429">
        <v>1</v>
      </c>
      <c r="CL429">
        <v>1</v>
      </c>
      <c r="CP429">
        <v>1</v>
      </c>
      <c r="CQ429">
        <v>1</v>
      </c>
      <c r="CR429">
        <v>1</v>
      </c>
    </row>
    <row r="430" spans="1:139" x14ac:dyDescent="0.25">
      <c r="A430" t="s">
        <v>66</v>
      </c>
      <c r="B430" t="s">
        <v>54</v>
      </c>
      <c r="C430" s="3">
        <v>22.2</v>
      </c>
      <c r="D430" s="3">
        <v>114.25</v>
      </c>
      <c r="E430" t="s">
        <v>34</v>
      </c>
      <c r="F430" t="s">
        <v>20</v>
      </c>
      <c r="G430" t="s">
        <v>76</v>
      </c>
      <c r="H430">
        <v>40</v>
      </c>
      <c r="I430" t="s">
        <v>15</v>
      </c>
      <c r="J430" t="s">
        <v>15</v>
      </c>
      <c r="K430" t="s">
        <v>15</v>
      </c>
      <c r="L430" t="s">
        <v>912</v>
      </c>
      <c r="M430" t="s">
        <v>911</v>
      </c>
      <c r="O430">
        <v>28.2</v>
      </c>
      <c r="CI430">
        <v>1</v>
      </c>
      <c r="CJ430">
        <v>1</v>
      </c>
      <c r="CK430">
        <v>1</v>
      </c>
      <c r="CL430">
        <v>1</v>
      </c>
      <c r="CQ430">
        <v>1</v>
      </c>
      <c r="CR430">
        <v>1</v>
      </c>
    </row>
    <row r="431" spans="1:139" x14ac:dyDescent="0.25">
      <c r="A431" t="s">
        <v>66</v>
      </c>
      <c r="B431" t="s">
        <v>54</v>
      </c>
      <c r="C431" s="3">
        <v>22.3</v>
      </c>
      <c r="D431" s="3">
        <v>114.18</v>
      </c>
      <c r="E431" t="s">
        <v>34</v>
      </c>
      <c r="F431" t="s">
        <v>34</v>
      </c>
      <c r="G431" t="s">
        <v>76</v>
      </c>
      <c r="H431">
        <v>40</v>
      </c>
      <c r="I431" t="s">
        <v>15</v>
      </c>
      <c r="J431" t="s">
        <v>15</v>
      </c>
      <c r="K431" t="s">
        <v>15</v>
      </c>
      <c r="L431" t="s">
        <v>912</v>
      </c>
      <c r="M431" t="s">
        <v>911</v>
      </c>
      <c r="O431">
        <v>42.59</v>
      </c>
      <c r="CI431">
        <v>1</v>
      </c>
      <c r="CJ431">
        <v>1</v>
      </c>
      <c r="CK431">
        <v>1</v>
      </c>
      <c r="CL431">
        <v>1</v>
      </c>
      <c r="CQ431">
        <v>1</v>
      </c>
      <c r="CR431">
        <v>1</v>
      </c>
    </row>
    <row r="432" spans="1:139" x14ac:dyDescent="0.25">
      <c r="A432" t="s">
        <v>66</v>
      </c>
      <c r="B432" t="s">
        <v>54</v>
      </c>
      <c r="C432" s="3">
        <v>22.31</v>
      </c>
      <c r="D432" s="3">
        <v>114.22</v>
      </c>
      <c r="E432" t="s">
        <v>34</v>
      </c>
      <c r="F432" t="s">
        <v>77</v>
      </c>
      <c r="G432" t="s">
        <v>76</v>
      </c>
      <c r="H432">
        <v>40</v>
      </c>
      <c r="I432" t="s">
        <v>15</v>
      </c>
      <c r="J432" t="s">
        <v>15</v>
      </c>
      <c r="K432" t="s">
        <v>15</v>
      </c>
      <c r="L432" t="s">
        <v>912</v>
      </c>
      <c r="M432" t="s">
        <v>911</v>
      </c>
      <c r="O432">
        <v>41.24</v>
      </c>
      <c r="CI432">
        <v>1</v>
      </c>
      <c r="CJ432">
        <v>1</v>
      </c>
      <c r="CK432">
        <v>1</v>
      </c>
      <c r="CL432">
        <v>1</v>
      </c>
      <c r="CQ432">
        <v>1</v>
      </c>
      <c r="CR432">
        <v>1</v>
      </c>
    </row>
    <row r="433" spans="1:107" x14ac:dyDescent="0.25">
      <c r="A433" t="s">
        <v>66</v>
      </c>
      <c r="B433" t="s">
        <v>54</v>
      </c>
      <c r="C433" s="3">
        <v>22.21</v>
      </c>
      <c r="D433" s="3">
        <v>114.26</v>
      </c>
      <c r="E433" t="s">
        <v>12</v>
      </c>
      <c r="F433" t="s">
        <v>20</v>
      </c>
      <c r="G433" t="s">
        <v>76</v>
      </c>
      <c r="I433" t="s">
        <v>12</v>
      </c>
      <c r="J433" t="s">
        <v>15</v>
      </c>
      <c r="K433" t="s">
        <v>12</v>
      </c>
      <c r="L433" t="s">
        <v>493</v>
      </c>
      <c r="M433" t="s">
        <v>951</v>
      </c>
      <c r="O433">
        <v>41.3</v>
      </c>
      <c r="P433">
        <v>20</v>
      </c>
      <c r="CW433">
        <v>1</v>
      </c>
      <c r="CX433">
        <v>1</v>
      </c>
    </row>
    <row r="434" spans="1:107" x14ac:dyDescent="0.25">
      <c r="A434" t="s">
        <v>66</v>
      </c>
      <c r="B434" t="s">
        <v>54</v>
      </c>
      <c r="C434" s="3">
        <v>22.21</v>
      </c>
      <c r="D434" s="3">
        <v>114.26</v>
      </c>
      <c r="E434" t="s">
        <v>12</v>
      </c>
      <c r="F434" t="s">
        <v>20</v>
      </c>
      <c r="G434" t="s">
        <v>76</v>
      </c>
      <c r="I434" t="s">
        <v>12</v>
      </c>
      <c r="J434" t="s">
        <v>15</v>
      </c>
      <c r="K434" t="s">
        <v>12</v>
      </c>
      <c r="L434" t="s">
        <v>493</v>
      </c>
      <c r="M434" t="s">
        <v>951</v>
      </c>
      <c r="O434">
        <v>15.8</v>
      </c>
      <c r="P434">
        <v>2.4</v>
      </c>
      <c r="DB434">
        <v>1</v>
      </c>
      <c r="DC434">
        <v>1</v>
      </c>
    </row>
    <row r="435" spans="1:107" x14ac:dyDescent="0.25">
      <c r="A435" t="s">
        <v>66</v>
      </c>
      <c r="B435" t="s">
        <v>54</v>
      </c>
      <c r="C435" s="3">
        <v>22.31</v>
      </c>
      <c r="D435" s="3">
        <v>114.18</v>
      </c>
      <c r="E435" t="s">
        <v>12</v>
      </c>
      <c r="F435" t="s">
        <v>34</v>
      </c>
      <c r="G435" t="s">
        <v>76</v>
      </c>
      <c r="I435" t="s">
        <v>12</v>
      </c>
      <c r="J435" t="s">
        <v>15</v>
      </c>
      <c r="K435" t="s">
        <v>12</v>
      </c>
      <c r="L435" t="s">
        <v>493</v>
      </c>
      <c r="M435" t="s">
        <v>951</v>
      </c>
      <c r="O435">
        <v>60.4</v>
      </c>
      <c r="P435">
        <v>22.9</v>
      </c>
      <c r="CW435">
        <v>1</v>
      </c>
      <c r="CX435">
        <v>1</v>
      </c>
    </row>
    <row r="436" spans="1:107" x14ac:dyDescent="0.25">
      <c r="A436" t="s">
        <v>66</v>
      </c>
      <c r="B436" t="s">
        <v>54</v>
      </c>
      <c r="C436" s="3">
        <v>22.31</v>
      </c>
      <c r="D436" s="3">
        <v>114.18</v>
      </c>
      <c r="E436" t="s">
        <v>12</v>
      </c>
      <c r="F436" t="s">
        <v>34</v>
      </c>
      <c r="G436" t="s">
        <v>76</v>
      </c>
      <c r="I436" t="s">
        <v>12</v>
      </c>
      <c r="J436" t="s">
        <v>15</v>
      </c>
      <c r="K436" t="s">
        <v>12</v>
      </c>
      <c r="L436" t="s">
        <v>493</v>
      </c>
      <c r="M436" t="s">
        <v>951</v>
      </c>
      <c r="O436">
        <v>40.1</v>
      </c>
      <c r="P436">
        <v>19.7</v>
      </c>
      <c r="DB436">
        <v>1</v>
      </c>
      <c r="DC436">
        <v>1</v>
      </c>
    </row>
    <row r="437" spans="1:107" x14ac:dyDescent="0.25">
      <c r="A437" t="s">
        <v>66</v>
      </c>
      <c r="B437" t="s">
        <v>54</v>
      </c>
      <c r="C437" s="3">
        <v>22.33</v>
      </c>
      <c r="D437" s="3">
        <v>114.18</v>
      </c>
      <c r="E437" t="s">
        <v>12</v>
      </c>
      <c r="F437" t="s">
        <v>77</v>
      </c>
      <c r="G437" t="s">
        <v>76</v>
      </c>
      <c r="I437" t="s">
        <v>12</v>
      </c>
      <c r="J437" t="s">
        <v>15</v>
      </c>
      <c r="K437" t="s">
        <v>12</v>
      </c>
      <c r="L437" t="s">
        <v>493</v>
      </c>
      <c r="M437" t="s">
        <v>951</v>
      </c>
      <c r="O437">
        <v>48.5</v>
      </c>
      <c r="P437">
        <v>24.7</v>
      </c>
      <c r="CW437">
        <v>1</v>
      </c>
      <c r="CX437">
        <v>1</v>
      </c>
    </row>
    <row r="438" spans="1:107" x14ac:dyDescent="0.25">
      <c r="A438" t="s">
        <v>66</v>
      </c>
      <c r="B438" t="s">
        <v>54</v>
      </c>
      <c r="C438" s="3">
        <v>22.33</v>
      </c>
      <c r="D438" s="3">
        <v>114.18</v>
      </c>
      <c r="E438" t="s">
        <v>12</v>
      </c>
      <c r="F438" t="s">
        <v>77</v>
      </c>
      <c r="G438" t="s">
        <v>76</v>
      </c>
      <c r="I438" t="s">
        <v>12</v>
      </c>
      <c r="J438" t="s">
        <v>15</v>
      </c>
      <c r="K438" t="s">
        <v>12</v>
      </c>
      <c r="L438" t="s">
        <v>493</v>
      </c>
      <c r="M438" t="s">
        <v>951</v>
      </c>
      <c r="O438">
        <v>30.8</v>
      </c>
      <c r="P438">
        <v>7.6</v>
      </c>
      <c r="DB438">
        <v>1</v>
      </c>
      <c r="DC438">
        <v>1</v>
      </c>
    </row>
    <row r="439" spans="1:107" x14ac:dyDescent="0.25">
      <c r="A439" t="s">
        <v>66</v>
      </c>
      <c r="B439" t="s">
        <v>54</v>
      </c>
      <c r="C439" s="3">
        <v>22.21</v>
      </c>
      <c r="D439" s="3">
        <v>114.26</v>
      </c>
      <c r="E439" t="s">
        <v>15</v>
      </c>
      <c r="F439" t="s">
        <v>20</v>
      </c>
      <c r="G439" t="s">
        <v>106</v>
      </c>
      <c r="I439" t="s">
        <v>15</v>
      </c>
      <c r="J439" t="s">
        <v>15</v>
      </c>
      <c r="K439" t="s">
        <v>15</v>
      </c>
      <c r="L439" t="s">
        <v>448</v>
      </c>
      <c r="M439" t="s">
        <v>975</v>
      </c>
      <c r="O439">
        <v>32.76</v>
      </c>
      <c r="P439">
        <v>15.05</v>
      </c>
      <c r="CJ439">
        <v>1</v>
      </c>
      <c r="CK439">
        <v>1</v>
      </c>
      <c r="CL439">
        <v>1</v>
      </c>
    </row>
    <row r="440" spans="1:107" x14ac:dyDescent="0.25">
      <c r="A440" t="s">
        <v>66</v>
      </c>
      <c r="B440" t="s">
        <v>54</v>
      </c>
      <c r="C440" s="3">
        <v>22.21</v>
      </c>
      <c r="D440" s="3">
        <v>114.26</v>
      </c>
      <c r="E440" t="s">
        <v>15</v>
      </c>
      <c r="F440" t="s">
        <v>20</v>
      </c>
      <c r="G440" t="s">
        <v>106</v>
      </c>
      <c r="I440" t="s">
        <v>15</v>
      </c>
      <c r="J440" t="s">
        <v>15</v>
      </c>
      <c r="K440" t="s">
        <v>15</v>
      </c>
      <c r="L440" t="s">
        <v>448</v>
      </c>
      <c r="M440" t="s">
        <v>975</v>
      </c>
      <c r="O440">
        <v>21.84</v>
      </c>
      <c r="P440">
        <v>10.73</v>
      </c>
      <c r="CM440">
        <v>1</v>
      </c>
      <c r="CN440">
        <v>1</v>
      </c>
      <c r="CO440">
        <v>1</v>
      </c>
    </row>
    <row r="441" spans="1:107" x14ac:dyDescent="0.25">
      <c r="A441" t="s">
        <v>66</v>
      </c>
      <c r="B441" t="s">
        <v>54</v>
      </c>
      <c r="C441" s="3">
        <v>22.21</v>
      </c>
      <c r="D441" s="3">
        <v>114.26</v>
      </c>
      <c r="E441" t="s">
        <v>15</v>
      </c>
      <c r="F441" t="s">
        <v>20</v>
      </c>
      <c r="G441" t="s">
        <v>106</v>
      </c>
      <c r="I441" t="s">
        <v>15</v>
      </c>
      <c r="J441" t="s">
        <v>15</v>
      </c>
      <c r="K441" t="s">
        <v>15</v>
      </c>
      <c r="L441" t="s">
        <v>448</v>
      </c>
      <c r="M441" t="s">
        <v>975</v>
      </c>
      <c r="O441">
        <v>14.83</v>
      </c>
      <c r="P441">
        <v>12.33</v>
      </c>
      <c r="CP441">
        <v>1</v>
      </c>
      <c r="CQ441">
        <v>1</v>
      </c>
      <c r="CR441">
        <v>1</v>
      </c>
    </row>
    <row r="442" spans="1:107" x14ac:dyDescent="0.25">
      <c r="A442" t="s">
        <v>66</v>
      </c>
      <c r="B442" t="s">
        <v>54</v>
      </c>
      <c r="C442" s="3">
        <v>22.21</v>
      </c>
      <c r="D442" s="3">
        <v>114.26</v>
      </c>
      <c r="E442" t="s">
        <v>15</v>
      </c>
      <c r="F442" t="s">
        <v>20</v>
      </c>
      <c r="G442" t="s">
        <v>106</v>
      </c>
      <c r="I442" t="s">
        <v>15</v>
      </c>
      <c r="J442" t="s">
        <v>15</v>
      </c>
      <c r="K442" t="s">
        <v>15</v>
      </c>
      <c r="L442" t="s">
        <v>448</v>
      </c>
      <c r="M442" t="s">
        <v>975</v>
      </c>
      <c r="O442">
        <v>27.16</v>
      </c>
      <c r="P442">
        <v>9.2100000000000009</v>
      </c>
      <c r="CI442">
        <v>1</v>
      </c>
      <c r="CS442">
        <v>1</v>
      </c>
      <c r="CT442">
        <v>1</v>
      </c>
    </row>
    <row r="443" spans="1:107" x14ac:dyDescent="0.25">
      <c r="A443" t="s">
        <v>66</v>
      </c>
      <c r="B443" t="s">
        <v>54</v>
      </c>
      <c r="C443" s="3">
        <v>22.32</v>
      </c>
      <c r="D443" s="3">
        <v>114.1</v>
      </c>
      <c r="E443" t="s">
        <v>15</v>
      </c>
      <c r="F443" t="s">
        <v>34</v>
      </c>
      <c r="G443" t="s">
        <v>106</v>
      </c>
      <c r="I443" t="s">
        <v>15</v>
      </c>
      <c r="J443" t="s">
        <v>15</v>
      </c>
      <c r="K443" t="s">
        <v>15</v>
      </c>
      <c r="L443" t="s">
        <v>448</v>
      </c>
      <c r="M443" t="s">
        <v>975</v>
      </c>
      <c r="O443">
        <v>69.150000000000006</v>
      </c>
      <c r="P443">
        <v>19.61</v>
      </c>
      <c r="CJ443">
        <v>1</v>
      </c>
      <c r="CK443">
        <v>1</v>
      </c>
      <c r="CL443">
        <v>1</v>
      </c>
    </row>
    <row r="444" spans="1:107" x14ac:dyDescent="0.25">
      <c r="A444" t="s">
        <v>66</v>
      </c>
      <c r="B444" t="s">
        <v>54</v>
      </c>
      <c r="C444" s="3">
        <v>22.32</v>
      </c>
      <c r="D444" s="3">
        <v>114.1</v>
      </c>
      <c r="E444" t="s">
        <v>15</v>
      </c>
      <c r="F444" t="s">
        <v>34</v>
      </c>
      <c r="G444" t="s">
        <v>106</v>
      </c>
      <c r="I444" t="s">
        <v>15</v>
      </c>
      <c r="J444" t="s">
        <v>15</v>
      </c>
      <c r="K444" t="s">
        <v>15</v>
      </c>
      <c r="L444" t="s">
        <v>448</v>
      </c>
      <c r="M444" t="s">
        <v>975</v>
      </c>
      <c r="O444">
        <v>50.26</v>
      </c>
      <c r="P444">
        <v>4.8600000000000003</v>
      </c>
      <c r="CM444">
        <v>1</v>
      </c>
      <c r="CN444">
        <v>1</v>
      </c>
      <c r="CO444">
        <v>1</v>
      </c>
    </row>
    <row r="445" spans="1:107" x14ac:dyDescent="0.25">
      <c r="A445" t="s">
        <v>66</v>
      </c>
      <c r="B445" t="s">
        <v>54</v>
      </c>
      <c r="C445" s="3">
        <v>22.32</v>
      </c>
      <c r="D445" s="3">
        <v>114.1</v>
      </c>
      <c r="E445" t="s">
        <v>15</v>
      </c>
      <c r="F445" t="s">
        <v>34</v>
      </c>
      <c r="G445" t="s">
        <v>106</v>
      </c>
      <c r="I445" t="s">
        <v>15</v>
      </c>
      <c r="J445" t="s">
        <v>15</v>
      </c>
      <c r="K445" t="s">
        <v>15</v>
      </c>
      <c r="L445" t="s">
        <v>448</v>
      </c>
      <c r="M445" t="s">
        <v>975</v>
      </c>
      <c r="O445">
        <v>51.4</v>
      </c>
      <c r="P445">
        <v>16.93</v>
      </c>
      <c r="CP445">
        <v>1</v>
      </c>
      <c r="CQ445">
        <v>1</v>
      </c>
      <c r="CR445">
        <v>1</v>
      </c>
    </row>
    <row r="446" spans="1:107" x14ac:dyDescent="0.25">
      <c r="A446" t="s">
        <v>66</v>
      </c>
      <c r="B446" t="s">
        <v>54</v>
      </c>
      <c r="C446" s="3">
        <v>22.32</v>
      </c>
      <c r="D446" s="3">
        <v>114.1</v>
      </c>
      <c r="E446" t="s">
        <v>15</v>
      </c>
      <c r="F446" t="s">
        <v>34</v>
      </c>
      <c r="G446" t="s">
        <v>106</v>
      </c>
      <c r="I446" t="s">
        <v>15</v>
      </c>
      <c r="J446" t="s">
        <v>15</v>
      </c>
      <c r="K446" t="s">
        <v>15</v>
      </c>
      <c r="L446" t="s">
        <v>448</v>
      </c>
      <c r="M446" t="s">
        <v>975</v>
      </c>
      <c r="O446">
        <v>56.03</v>
      </c>
      <c r="P446">
        <v>8.36</v>
      </c>
      <c r="CI446">
        <v>1</v>
      </c>
      <c r="CS446">
        <v>1</v>
      </c>
      <c r="CT446">
        <v>1</v>
      </c>
    </row>
    <row r="447" spans="1:107" x14ac:dyDescent="0.25">
      <c r="A447" t="s">
        <v>66</v>
      </c>
      <c r="B447" t="s">
        <v>54</v>
      </c>
      <c r="C447" s="3">
        <v>22.38</v>
      </c>
      <c r="D447" s="3">
        <v>114.1</v>
      </c>
      <c r="E447" t="s">
        <v>15</v>
      </c>
      <c r="F447" t="s">
        <v>8</v>
      </c>
      <c r="G447" t="s">
        <v>106</v>
      </c>
      <c r="I447" t="s">
        <v>15</v>
      </c>
      <c r="J447" t="s">
        <v>15</v>
      </c>
      <c r="K447" t="s">
        <v>15</v>
      </c>
      <c r="L447" t="s">
        <v>448</v>
      </c>
      <c r="M447" t="s">
        <v>975</v>
      </c>
      <c r="O447">
        <v>44.5</v>
      </c>
      <c r="P447">
        <v>23.62</v>
      </c>
      <c r="CJ447">
        <v>1</v>
      </c>
      <c r="CK447">
        <v>1</v>
      </c>
      <c r="CL447">
        <v>1</v>
      </c>
    </row>
    <row r="448" spans="1:107" x14ac:dyDescent="0.25">
      <c r="A448" t="s">
        <v>66</v>
      </c>
      <c r="B448" t="s">
        <v>54</v>
      </c>
      <c r="C448" s="3">
        <v>22.38</v>
      </c>
      <c r="D448" s="3">
        <v>114.1</v>
      </c>
      <c r="E448" t="s">
        <v>15</v>
      </c>
      <c r="F448" t="s">
        <v>8</v>
      </c>
      <c r="G448" t="s">
        <v>106</v>
      </c>
      <c r="I448" t="s">
        <v>15</v>
      </c>
      <c r="J448" t="s">
        <v>15</v>
      </c>
      <c r="K448" t="s">
        <v>15</v>
      </c>
      <c r="L448" t="s">
        <v>448</v>
      </c>
      <c r="M448" t="s">
        <v>975</v>
      </c>
      <c r="O448">
        <v>29.31</v>
      </c>
      <c r="P448">
        <v>12.54</v>
      </c>
      <c r="CM448">
        <v>1</v>
      </c>
      <c r="CN448">
        <v>1</v>
      </c>
      <c r="CO448">
        <v>1</v>
      </c>
    </row>
    <row r="449" spans="1:182" x14ac:dyDescent="0.25">
      <c r="A449" t="s">
        <v>66</v>
      </c>
      <c r="B449" t="s">
        <v>54</v>
      </c>
      <c r="C449" s="3">
        <v>22.38</v>
      </c>
      <c r="D449" s="3">
        <v>114.1</v>
      </c>
      <c r="E449" t="s">
        <v>15</v>
      </c>
      <c r="F449" t="s">
        <v>8</v>
      </c>
      <c r="G449" t="s">
        <v>106</v>
      </c>
      <c r="I449" t="s">
        <v>15</v>
      </c>
      <c r="J449" t="s">
        <v>15</v>
      </c>
      <c r="K449" t="s">
        <v>15</v>
      </c>
      <c r="L449" t="s">
        <v>448</v>
      </c>
      <c r="M449" t="s">
        <v>975</v>
      </c>
      <c r="O449">
        <v>25.58</v>
      </c>
      <c r="P449">
        <v>15.05</v>
      </c>
      <c r="CP449">
        <v>1</v>
      </c>
      <c r="CQ449">
        <v>1</v>
      </c>
      <c r="CR449">
        <v>1</v>
      </c>
    </row>
    <row r="450" spans="1:182" x14ac:dyDescent="0.25">
      <c r="A450" t="s">
        <v>66</v>
      </c>
      <c r="B450" t="s">
        <v>54</v>
      </c>
      <c r="C450" s="3">
        <v>22.38</v>
      </c>
      <c r="D450" s="3">
        <v>114.1</v>
      </c>
      <c r="E450" t="s">
        <v>15</v>
      </c>
      <c r="F450" t="s">
        <v>8</v>
      </c>
      <c r="G450" t="s">
        <v>106</v>
      </c>
      <c r="I450" t="s">
        <v>15</v>
      </c>
      <c r="J450" t="s">
        <v>15</v>
      </c>
      <c r="K450" t="s">
        <v>15</v>
      </c>
      <c r="L450" t="s">
        <v>448</v>
      </c>
      <c r="M450" t="s">
        <v>975</v>
      </c>
      <c r="O450">
        <v>34.42</v>
      </c>
      <c r="P450">
        <v>8.8699999999999992</v>
      </c>
      <c r="CI450">
        <v>1</v>
      </c>
      <c r="CS450">
        <v>1</v>
      </c>
      <c r="CT450">
        <v>1</v>
      </c>
    </row>
    <row r="451" spans="1:182" x14ac:dyDescent="0.25">
      <c r="A451" t="s">
        <v>66</v>
      </c>
      <c r="B451" t="s">
        <v>54</v>
      </c>
      <c r="C451" s="3">
        <v>22.1</v>
      </c>
      <c r="D451" s="3">
        <v>114.1</v>
      </c>
      <c r="E451" t="s">
        <v>15</v>
      </c>
      <c r="F451" t="s">
        <v>20</v>
      </c>
      <c r="G451" t="s">
        <v>76</v>
      </c>
      <c r="H451">
        <v>40</v>
      </c>
      <c r="I451" t="s">
        <v>15</v>
      </c>
      <c r="J451" t="s">
        <v>15</v>
      </c>
      <c r="K451" t="s">
        <v>15</v>
      </c>
      <c r="L451" t="s">
        <v>307</v>
      </c>
      <c r="M451" t="s">
        <v>1041</v>
      </c>
      <c r="O451">
        <v>30.8</v>
      </c>
      <c r="P451">
        <v>13.4</v>
      </c>
      <c r="DX451">
        <v>1</v>
      </c>
      <c r="DY451">
        <v>1</v>
      </c>
    </row>
    <row r="452" spans="1:182" x14ac:dyDescent="0.25">
      <c r="A452" t="s">
        <v>66</v>
      </c>
      <c r="B452" t="s">
        <v>54</v>
      </c>
      <c r="C452" s="3">
        <v>22.2</v>
      </c>
      <c r="D452" s="3">
        <v>114.1</v>
      </c>
      <c r="E452" t="s">
        <v>15</v>
      </c>
      <c r="F452" t="s">
        <v>77</v>
      </c>
      <c r="G452" t="s">
        <v>76</v>
      </c>
      <c r="H452">
        <v>40</v>
      </c>
      <c r="I452" t="s">
        <v>15</v>
      </c>
      <c r="J452" t="s">
        <v>15</v>
      </c>
      <c r="K452" t="s">
        <v>15</v>
      </c>
      <c r="L452" t="s">
        <v>307</v>
      </c>
      <c r="M452" t="s">
        <v>1041</v>
      </c>
      <c r="O452">
        <v>37.5</v>
      </c>
      <c r="P452">
        <v>17.5</v>
      </c>
      <c r="DX452">
        <v>1</v>
      </c>
      <c r="DY452">
        <v>1</v>
      </c>
    </row>
    <row r="453" spans="1:182" x14ac:dyDescent="0.25">
      <c r="A453" t="s">
        <v>66</v>
      </c>
      <c r="B453" t="s">
        <v>54</v>
      </c>
      <c r="C453" s="3">
        <v>22.35</v>
      </c>
      <c r="D453" s="3">
        <v>114.17</v>
      </c>
      <c r="E453" t="s">
        <v>12</v>
      </c>
      <c r="F453" t="s">
        <v>8</v>
      </c>
      <c r="G453" t="s">
        <v>106</v>
      </c>
      <c r="I453" t="s">
        <v>15</v>
      </c>
      <c r="J453" t="s">
        <v>12</v>
      </c>
      <c r="K453" t="s">
        <v>12</v>
      </c>
      <c r="L453" t="s">
        <v>261</v>
      </c>
      <c r="M453" t="s">
        <v>1058</v>
      </c>
      <c r="N453" t="s">
        <v>262</v>
      </c>
      <c r="O453">
        <f>AVERAGE(58,33.9,23.7)</f>
        <v>38.533333333333339</v>
      </c>
      <c r="CI453">
        <v>1</v>
      </c>
      <c r="CJ453">
        <v>1</v>
      </c>
      <c r="CK453">
        <v>1</v>
      </c>
      <c r="CL453">
        <v>1</v>
      </c>
      <c r="CM453">
        <v>1</v>
      </c>
      <c r="CN453">
        <v>1</v>
      </c>
      <c r="CO453">
        <v>1</v>
      </c>
      <c r="CP453">
        <v>1</v>
      </c>
      <c r="CQ453">
        <v>1</v>
      </c>
      <c r="CR453">
        <v>1</v>
      </c>
      <c r="CS453">
        <v>1</v>
      </c>
      <c r="CT453">
        <v>1</v>
      </c>
    </row>
    <row r="454" spans="1:182" x14ac:dyDescent="0.25">
      <c r="A454" t="s">
        <v>66</v>
      </c>
      <c r="B454" t="s">
        <v>54</v>
      </c>
      <c r="C454" s="3">
        <v>22.35</v>
      </c>
      <c r="D454" s="3">
        <v>114.17</v>
      </c>
      <c r="E454" t="s">
        <v>12</v>
      </c>
      <c r="F454" t="s">
        <v>8</v>
      </c>
      <c r="G454" t="s">
        <v>106</v>
      </c>
      <c r="I454" t="s">
        <v>15</v>
      </c>
      <c r="J454" t="s">
        <v>12</v>
      </c>
      <c r="K454" t="s">
        <v>12</v>
      </c>
      <c r="L454" t="s">
        <v>261</v>
      </c>
      <c r="M454" t="s">
        <v>1058</v>
      </c>
      <c r="N454" t="s">
        <v>262</v>
      </c>
      <c r="O454">
        <f>AVERAGE(53,39,28.4)</f>
        <v>40.133333333333333</v>
      </c>
      <c r="EE454">
        <v>1</v>
      </c>
      <c r="EF454">
        <v>1</v>
      </c>
      <c r="EG454">
        <v>1</v>
      </c>
      <c r="EH454">
        <v>1</v>
      </c>
      <c r="EI454">
        <v>1</v>
      </c>
      <c r="EJ454">
        <v>1</v>
      </c>
      <c r="EK454">
        <v>1</v>
      </c>
      <c r="EL454">
        <v>1</v>
      </c>
      <c r="EM454">
        <v>1</v>
      </c>
      <c r="EN454">
        <v>1</v>
      </c>
      <c r="EO454">
        <v>1</v>
      </c>
      <c r="EP454">
        <v>1</v>
      </c>
    </row>
    <row r="455" spans="1:182" x14ac:dyDescent="0.25">
      <c r="A455" t="s">
        <v>52</v>
      </c>
      <c r="B455" t="s">
        <v>54</v>
      </c>
      <c r="C455" s="3">
        <v>34.11</v>
      </c>
      <c r="D455" s="3">
        <v>108.6</v>
      </c>
      <c r="E455" t="s">
        <v>12</v>
      </c>
      <c r="F455" t="s">
        <v>20</v>
      </c>
      <c r="G455" t="s">
        <v>55</v>
      </c>
      <c r="I455" t="s">
        <v>15</v>
      </c>
      <c r="J455" t="s">
        <v>12</v>
      </c>
      <c r="K455" t="s">
        <v>12</v>
      </c>
      <c r="L455" t="s">
        <v>56</v>
      </c>
      <c r="M455" t="s">
        <v>1141</v>
      </c>
      <c r="O455">
        <v>371.4</v>
      </c>
      <c r="FO455">
        <v>0.5</v>
      </c>
      <c r="FP455">
        <v>0.5</v>
      </c>
    </row>
    <row r="456" spans="1:182" x14ac:dyDescent="0.25">
      <c r="A456" t="s">
        <v>52</v>
      </c>
      <c r="B456" t="s">
        <v>54</v>
      </c>
      <c r="C456" s="3">
        <v>34.11</v>
      </c>
      <c r="D456" s="3">
        <v>108.6</v>
      </c>
      <c r="E456" t="s">
        <v>12</v>
      </c>
      <c r="F456" t="s">
        <v>20</v>
      </c>
      <c r="G456" t="s">
        <v>55</v>
      </c>
      <c r="I456" t="s">
        <v>15</v>
      </c>
      <c r="J456" t="s">
        <v>12</v>
      </c>
      <c r="K456" t="s">
        <v>12</v>
      </c>
      <c r="L456" t="s">
        <v>56</v>
      </c>
      <c r="M456" t="s">
        <v>1141</v>
      </c>
      <c r="O456">
        <v>123.1</v>
      </c>
      <c r="FJ456">
        <v>1</v>
      </c>
    </row>
    <row r="457" spans="1:182" x14ac:dyDescent="0.25">
      <c r="A457" t="s">
        <v>102</v>
      </c>
      <c r="B457" t="s">
        <v>54</v>
      </c>
      <c r="C457" s="3">
        <v>18.670000000000002</v>
      </c>
      <c r="D457" s="3">
        <v>108.81</v>
      </c>
      <c r="E457" t="s">
        <v>15</v>
      </c>
      <c r="F457" t="s">
        <v>20</v>
      </c>
      <c r="G457" t="s">
        <v>76</v>
      </c>
      <c r="I457" t="s">
        <v>12</v>
      </c>
      <c r="J457" t="s">
        <v>12</v>
      </c>
      <c r="K457" t="s">
        <v>12</v>
      </c>
      <c r="L457" t="s">
        <v>1129</v>
      </c>
      <c r="M457" t="s">
        <v>1128</v>
      </c>
      <c r="O457">
        <v>13</v>
      </c>
      <c r="P457">
        <v>4.2</v>
      </c>
      <c r="DX457">
        <v>1</v>
      </c>
      <c r="DY457">
        <v>1</v>
      </c>
    </row>
    <row r="458" spans="1:182" x14ac:dyDescent="0.25">
      <c r="A458" t="s">
        <v>118</v>
      </c>
      <c r="B458" t="s">
        <v>54</v>
      </c>
      <c r="C458" s="3">
        <v>36.65</v>
      </c>
      <c r="D458" s="3">
        <v>117.12</v>
      </c>
      <c r="E458" t="s">
        <v>12</v>
      </c>
      <c r="F458" t="s">
        <v>77</v>
      </c>
      <c r="G458" t="s">
        <v>735</v>
      </c>
      <c r="I458" t="s">
        <v>12</v>
      </c>
      <c r="J458" t="s">
        <v>15</v>
      </c>
      <c r="K458" t="s">
        <v>12</v>
      </c>
      <c r="L458" t="s">
        <v>771</v>
      </c>
      <c r="M458" t="s">
        <v>832</v>
      </c>
      <c r="N458" t="s">
        <v>772</v>
      </c>
      <c r="O458">
        <v>143.1</v>
      </c>
      <c r="P458" t="s">
        <v>773</v>
      </c>
      <c r="EF458">
        <v>1</v>
      </c>
      <c r="EG458">
        <v>1</v>
      </c>
      <c r="EH458">
        <v>1</v>
      </c>
      <c r="EI458">
        <v>1</v>
      </c>
      <c r="EJ458">
        <v>1</v>
      </c>
      <c r="EK458">
        <v>1</v>
      </c>
      <c r="EL458">
        <v>1</v>
      </c>
      <c r="EM458">
        <v>1</v>
      </c>
      <c r="EN458">
        <v>1</v>
      </c>
      <c r="EO458">
        <v>1</v>
      </c>
      <c r="ET458">
        <v>1</v>
      </c>
      <c r="EU458">
        <v>1</v>
      </c>
      <c r="EV458">
        <v>1</v>
      </c>
      <c r="EW458">
        <v>1</v>
      </c>
      <c r="EX458">
        <v>1</v>
      </c>
      <c r="EY458">
        <v>1</v>
      </c>
      <c r="EZ458">
        <v>1</v>
      </c>
      <c r="FA458">
        <v>1</v>
      </c>
      <c r="FB458">
        <v>1</v>
      </c>
      <c r="FC458">
        <v>1</v>
      </c>
      <c r="FD458">
        <v>1</v>
      </c>
      <c r="FE458">
        <v>1</v>
      </c>
      <c r="FF458">
        <v>1</v>
      </c>
      <c r="FP458">
        <v>1</v>
      </c>
      <c r="FQ458">
        <v>1</v>
      </c>
      <c r="FR458">
        <v>1</v>
      </c>
      <c r="FS458">
        <v>1</v>
      </c>
      <c r="FT458">
        <v>1</v>
      </c>
      <c r="FU458">
        <v>1</v>
      </c>
      <c r="FV458">
        <v>1</v>
      </c>
      <c r="FW458">
        <v>1</v>
      </c>
      <c r="FX458">
        <v>1</v>
      </c>
      <c r="FY458">
        <v>1</v>
      </c>
      <c r="FZ458">
        <v>1</v>
      </c>
    </row>
    <row r="459" spans="1:182" x14ac:dyDescent="0.25">
      <c r="A459" t="s">
        <v>118</v>
      </c>
      <c r="B459" t="s">
        <v>54</v>
      </c>
      <c r="C459" s="3">
        <f>36+40/60+4/3600</f>
        <v>36.667777777777772</v>
      </c>
      <c r="D459" s="3">
        <f>117+2/60+1/3600</f>
        <v>117.03361111111111</v>
      </c>
      <c r="E459" t="s">
        <v>34</v>
      </c>
      <c r="F459" t="s">
        <v>8</v>
      </c>
      <c r="G459" t="s">
        <v>106</v>
      </c>
      <c r="H459">
        <v>50</v>
      </c>
      <c r="I459" t="s">
        <v>15</v>
      </c>
      <c r="J459" t="s">
        <v>15</v>
      </c>
      <c r="K459" t="s">
        <v>15</v>
      </c>
      <c r="L459" t="s">
        <v>120</v>
      </c>
      <c r="M459" t="s">
        <v>1114</v>
      </c>
      <c r="O459">
        <f>AVERAGE(143.25,93.46)</f>
        <v>118.35499999999999</v>
      </c>
      <c r="EU459">
        <v>1</v>
      </c>
      <c r="EV459">
        <v>1</v>
      </c>
      <c r="EW459">
        <v>1</v>
      </c>
    </row>
    <row r="460" spans="1:182" x14ac:dyDescent="0.25">
      <c r="A460" t="s">
        <v>118</v>
      </c>
      <c r="B460" t="s">
        <v>54</v>
      </c>
      <c r="C460" s="3">
        <f>36+40/60+4/3600</f>
        <v>36.667777777777772</v>
      </c>
      <c r="D460" s="3">
        <f>117+2/60+1/3600</f>
        <v>117.03361111111111</v>
      </c>
      <c r="E460" t="s">
        <v>34</v>
      </c>
      <c r="F460" t="s">
        <v>8</v>
      </c>
      <c r="G460" t="s">
        <v>106</v>
      </c>
      <c r="H460">
        <v>50</v>
      </c>
      <c r="I460" t="s">
        <v>15</v>
      </c>
      <c r="J460" t="s">
        <v>15</v>
      </c>
      <c r="K460" t="s">
        <v>15</v>
      </c>
      <c r="L460" t="s">
        <v>120</v>
      </c>
      <c r="M460" t="s">
        <v>1114</v>
      </c>
      <c r="O460">
        <f>AVERAGE(129.04,69.56)</f>
        <v>99.3</v>
      </c>
      <c r="EX460">
        <v>1</v>
      </c>
      <c r="EY460">
        <v>1</v>
      </c>
      <c r="EZ460">
        <v>1</v>
      </c>
    </row>
    <row r="461" spans="1:182" x14ac:dyDescent="0.25">
      <c r="A461" t="s">
        <v>118</v>
      </c>
      <c r="B461" t="s">
        <v>54</v>
      </c>
      <c r="C461" s="3">
        <f>36+40/60+4/3600</f>
        <v>36.667777777777772</v>
      </c>
      <c r="D461" s="3">
        <f>117+2/60+1/3600</f>
        <v>117.03361111111111</v>
      </c>
      <c r="E461" t="s">
        <v>34</v>
      </c>
      <c r="F461" t="s">
        <v>8</v>
      </c>
      <c r="G461" t="s">
        <v>106</v>
      </c>
      <c r="H461">
        <v>50</v>
      </c>
      <c r="I461" t="s">
        <v>15</v>
      </c>
      <c r="J461" t="s">
        <v>15</v>
      </c>
      <c r="K461" t="s">
        <v>15</v>
      </c>
      <c r="L461" t="s">
        <v>120</v>
      </c>
      <c r="M461" t="s">
        <v>1114</v>
      </c>
      <c r="O461">
        <f>AVERAGE(134.89,93.21)</f>
        <v>114.04999999999998</v>
      </c>
      <c r="FA461">
        <v>1</v>
      </c>
      <c r="FB461">
        <v>1</v>
      </c>
      <c r="FC461">
        <v>1</v>
      </c>
    </row>
    <row r="462" spans="1:182" x14ac:dyDescent="0.25">
      <c r="A462" t="s">
        <v>118</v>
      </c>
      <c r="B462" t="s">
        <v>54</v>
      </c>
      <c r="C462" s="3">
        <f>36+40/60+4/3600</f>
        <v>36.667777777777772</v>
      </c>
      <c r="D462" s="3">
        <f>117+2/60+1/3600</f>
        <v>117.03361111111111</v>
      </c>
      <c r="E462" t="s">
        <v>34</v>
      </c>
      <c r="F462" t="s">
        <v>8</v>
      </c>
      <c r="G462" t="s">
        <v>106</v>
      </c>
      <c r="H462">
        <v>50</v>
      </c>
      <c r="I462" t="s">
        <v>15</v>
      </c>
      <c r="J462" t="s">
        <v>15</v>
      </c>
      <c r="K462" t="s">
        <v>15</v>
      </c>
      <c r="L462" t="s">
        <v>120</v>
      </c>
      <c r="M462" t="s">
        <v>1114</v>
      </c>
      <c r="O462">
        <f>AVERAGE(204.89,146.8)</f>
        <v>175.845</v>
      </c>
      <c r="FD462">
        <v>1</v>
      </c>
      <c r="FE462">
        <v>1</v>
      </c>
      <c r="FF462">
        <v>1</v>
      </c>
    </row>
    <row r="463" spans="1:182" x14ac:dyDescent="0.25">
      <c r="A463" t="s">
        <v>118</v>
      </c>
      <c r="B463" t="s">
        <v>54</v>
      </c>
      <c r="C463" s="3">
        <v>36.67</v>
      </c>
      <c r="D463" s="3">
        <v>117.05</v>
      </c>
      <c r="E463" t="s">
        <v>34</v>
      </c>
      <c r="F463" t="s">
        <v>77</v>
      </c>
      <c r="G463" t="s">
        <v>106</v>
      </c>
      <c r="I463" t="s">
        <v>15</v>
      </c>
      <c r="J463" t="s">
        <v>15</v>
      </c>
      <c r="K463" t="s">
        <v>15</v>
      </c>
      <c r="L463" t="s">
        <v>427</v>
      </c>
      <c r="M463" t="s">
        <v>1116</v>
      </c>
      <c r="O463">
        <v>108</v>
      </c>
      <c r="EI463">
        <v>1</v>
      </c>
      <c r="EJ463">
        <v>1</v>
      </c>
      <c r="EK463">
        <v>1</v>
      </c>
    </row>
    <row r="464" spans="1:182" x14ac:dyDescent="0.25">
      <c r="A464" t="s">
        <v>118</v>
      </c>
      <c r="B464" t="s">
        <v>54</v>
      </c>
      <c r="C464" s="3">
        <v>36.67</v>
      </c>
      <c r="D464" s="3">
        <v>117.05</v>
      </c>
      <c r="E464" t="s">
        <v>34</v>
      </c>
      <c r="F464" t="s">
        <v>77</v>
      </c>
      <c r="G464" t="s">
        <v>106</v>
      </c>
      <c r="I464" t="s">
        <v>15</v>
      </c>
      <c r="J464" t="s">
        <v>15</v>
      </c>
      <c r="K464" t="s">
        <v>15</v>
      </c>
      <c r="L464" t="s">
        <v>427</v>
      </c>
      <c r="M464" t="s">
        <v>1116</v>
      </c>
      <c r="O464">
        <v>116</v>
      </c>
      <c r="EL464">
        <v>1</v>
      </c>
      <c r="EM464">
        <v>1</v>
      </c>
      <c r="EN464">
        <v>1</v>
      </c>
    </row>
    <row r="465" spans="1:146" x14ac:dyDescent="0.25">
      <c r="A465" t="s">
        <v>118</v>
      </c>
      <c r="B465" t="s">
        <v>54</v>
      </c>
      <c r="C465" s="3">
        <v>36.67</v>
      </c>
      <c r="D465" s="3">
        <v>117.05</v>
      </c>
      <c r="E465" t="s">
        <v>34</v>
      </c>
      <c r="F465" t="s">
        <v>77</v>
      </c>
      <c r="G465" t="s">
        <v>106</v>
      </c>
      <c r="I465" t="s">
        <v>15</v>
      </c>
      <c r="J465" t="s">
        <v>15</v>
      </c>
      <c r="K465" t="s">
        <v>15</v>
      </c>
      <c r="L465" t="s">
        <v>427</v>
      </c>
      <c r="M465" t="s">
        <v>1116</v>
      </c>
      <c r="O465">
        <v>151</v>
      </c>
      <c r="EE465">
        <v>1</v>
      </c>
      <c r="EO465">
        <v>1</v>
      </c>
    </row>
    <row r="466" spans="1:146" x14ac:dyDescent="0.25">
      <c r="A466" t="s">
        <v>118</v>
      </c>
      <c r="B466" t="s">
        <v>54</v>
      </c>
      <c r="C466" s="3">
        <v>36.67</v>
      </c>
      <c r="D466" s="3">
        <v>117.05</v>
      </c>
      <c r="E466" t="s">
        <v>34</v>
      </c>
      <c r="F466" t="s">
        <v>77</v>
      </c>
      <c r="G466" t="s">
        <v>106</v>
      </c>
      <c r="I466" t="s">
        <v>15</v>
      </c>
      <c r="J466" t="s">
        <v>15</v>
      </c>
      <c r="K466" t="s">
        <v>15</v>
      </c>
      <c r="L466" t="s">
        <v>427</v>
      </c>
      <c r="M466" t="s">
        <v>1116</v>
      </c>
      <c r="O466">
        <v>177</v>
      </c>
      <c r="EF466">
        <v>1</v>
      </c>
      <c r="EG466">
        <v>1</v>
      </c>
      <c r="EH466">
        <v>1</v>
      </c>
    </row>
    <row r="467" spans="1:146" x14ac:dyDescent="0.25">
      <c r="A467" t="s">
        <v>718</v>
      </c>
      <c r="B467" t="s">
        <v>54</v>
      </c>
      <c r="C467" s="3">
        <v>38.299999999999997</v>
      </c>
      <c r="D467" s="3">
        <v>101.1</v>
      </c>
      <c r="E467" t="s">
        <v>15</v>
      </c>
      <c r="F467" t="s">
        <v>77</v>
      </c>
      <c r="G467" t="s">
        <v>716</v>
      </c>
      <c r="I467" t="s">
        <v>15</v>
      </c>
      <c r="J467" t="s">
        <v>12</v>
      </c>
      <c r="K467" t="s">
        <v>12</v>
      </c>
      <c r="L467" t="s">
        <v>761</v>
      </c>
      <c r="M467" t="s">
        <v>819</v>
      </c>
      <c r="O467">
        <v>105.8</v>
      </c>
      <c r="P467">
        <v>42.9</v>
      </c>
      <c r="DI467">
        <v>1</v>
      </c>
    </row>
    <row r="468" spans="1:146" x14ac:dyDescent="0.25">
      <c r="A468" t="s">
        <v>718</v>
      </c>
      <c r="B468" t="s">
        <v>54</v>
      </c>
      <c r="C468" s="3">
        <v>38.299999999999997</v>
      </c>
      <c r="D468" s="3">
        <v>101.1</v>
      </c>
      <c r="E468" t="s">
        <v>15</v>
      </c>
      <c r="F468" t="s">
        <v>77</v>
      </c>
      <c r="G468" t="s">
        <v>716</v>
      </c>
      <c r="I468" t="s">
        <v>15</v>
      </c>
      <c r="J468" t="s">
        <v>12</v>
      </c>
      <c r="K468" t="s">
        <v>12</v>
      </c>
      <c r="L468" t="s">
        <v>761</v>
      </c>
      <c r="M468" t="s">
        <v>819</v>
      </c>
      <c r="O468">
        <v>60.4</v>
      </c>
      <c r="P468">
        <v>18.2</v>
      </c>
      <c r="DN468">
        <v>1</v>
      </c>
      <c r="DO468">
        <v>1</v>
      </c>
    </row>
    <row r="469" spans="1:146" x14ac:dyDescent="0.25">
      <c r="A469" t="s">
        <v>586</v>
      </c>
      <c r="B469" t="s">
        <v>54</v>
      </c>
      <c r="C469" s="3">
        <f t="shared" ref="C469:C476" si="10">41+7/60</f>
        <v>41.116666666666667</v>
      </c>
      <c r="D469" s="3">
        <f t="shared" ref="D469:D476" si="11">121+7/60</f>
        <v>121.11666666666666</v>
      </c>
      <c r="E469" t="s">
        <v>12</v>
      </c>
      <c r="F469" t="s">
        <v>22</v>
      </c>
      <c r="G469" t="s">
        <v>97</v>
      </c>
      <c r="H469">
        <v>35</v>
      </c>
      <c r="I469" t="s">
        <v>12</v>
      </c>
      <c r="J469" t="s">
        <v>12</v>
      </c>
      <c r="K469" t="s">
        <v>15</v>
      </c>
      <c r="L469" t="s">
        <v>587</v>
      </c>
      <c r="M469" t="s">
        <v>890</v>
      </c>
      <c r="O469">
        <f>89/AVERAGE(89,57,76,86)*89</f>
        <v>102.87012987012987</v>
      </c>
      <c r="DU469">
        <v>0.5</v>
      </c>
      <c r="EG469">
        <v>0.5</v>
      </c>
    </row>
    <row r="470" spans="1:146" x14ac:dyDescent="0.25">
      <c r="A470" t="s">
        <v>586</v>
      </c>
      <c r="B470" t="s">
        <v>54</v>
      </c>
      <c r="C470" s="3">
        <f t="shared" si="10"/>
        <v>41.116666666666667</v>
      </c>
      <c r="D470" s="3">
        <f t="shared" si="11"/>
        <v>121.11666666666666</v>
      </c>
      <c r="E470" t="s">
        <v>12</v>
      </c>
      <c r="F470" t="s">
        <v>22</v>
      </c>
      <c r="G470" t="s">
        <v>97</v>
      </c>
      <c r="H470">
        <v>35</v>
      </c>
      <c r="I470" t="s">
        <v>12</v>
      </c>
      <c r="J470" t="s">
        <v>12</v>
      </c>
      <c r="K470" t="s">
        <v>15</v>
      </c>
      <c r="L470" t="s">
        <v>587</v>
      </c>
      <c r="M470" t="s">
        <v>890</v>
      </c>
      <c r="O470">
        <f>57/AVERAGE(89,57,76,86)*89</f>
        <v>65.883116883116884</v>
      </c>
      <c r="DX470">
        <v>0.5</v>
      </c>
      <c r="EJ470">
        <v>0.5</v>
      </c>
    </row>
    <row r="471" spans="1:146" x14ac:dyDescent="0.25">
      <c r="A471" t="s">
        <v>586</v>
      </c>
      <c r="B471" t="s">
        <v>54</v>
      </c>
      <c r="C471" s="3">
        <f t="shared" si="10"/>
        <v>41.116666666666667</v>
      </c>
      <c r="D471" s="3">
        <f t="shared" si="11"/>
        <v>121.11666666666666</v>
      </c>
      <c r="E471" t="s">
        <v>12</v>
      </c>
      <c r="F471" t="s">
        <v>22</v>
      </c>
      <c r="G471" t="s">
        <v>97</v>
      </c>
      <c r="H471">
        <v>35</v>
      </c>
      <c r="I471" t="s">
        <v>12</v>
      </c>
      <c r="J471" t="s">
        <v>12</v>
      </c>
      <c r="K471" t="s">
        <v>15</v>
      </c>
      <c r="L471" t="s">
        <v>587</v>
      </c>
      <c r="M471" t="s">
        <v>890</v>
      </c>
      <c r="O471">
        <f>76/AVERAGE(89,57,76,86)*89</f>
        <v>87.84415584415585</v>
      </c>
      <c r="EA471">
        <v>0.5</v>
      </c>
      <c r="EM471">
        <v>0.5</v>
      </c>
    </row>
    <row r="472" spans="1:146" x14ac:dyDescent="0.25">
      <c r="A472" t="s">
        <v>586</v>
      </c>
      <c r="B472" t="s">
        <v>54</v>
      </c>
      <c r="C472" s="3">
        <f t="shared" si="10"/>
        <v>41.116666666666667</v>
      </c>
      <c r="D472" s="3">
        <f t="shared" si="11"/>
        <v>121.11666666666666</v>
      </c>
      <c r="E472" t="s">
        <v>12</v>
      </c>
      <c r="F472" t="s">
        <v>22</v>
      </c>
      <c r="G472" t="s">
        <v>97</v>
      </c>
      <c r="H472">
        <v>35</v>
      </c>
      <c r="I472" t="s">
        <v>12</v>
      </c>
      <c r="J472" t="s">
        <v>12</v>
      </c>
      <c r="K472" t="s">
        <v>15</v>
      </c>
      <c r="L472" t="s">
        <v>587</v>
      </c>
      <c r="M472" t="s">
        <v>890</v>
      </c>
      <c r="O472">
        <f>86/AVERAGE(89,57,76,86)*89</f>
        <v>99.402597402597394</v>
      </c>
      <c r="ED472">
        <v>0.5</v>
      </c>
      <c r="EP472">
        <v>0.5</v>
      </c>
    </row>
    <row r="473" spans="1:146" x14ac:dyDescent="0.25">
      <c r="A473" t="s">
        <v>586</v>
      </c>
      <c r="B473" t="s">
        <v>54</v>
      </c>
      <c r="C473" s="3">
        <f t="shared" si="10"/>
        <v>41.116666666666667</v>
      </c>
      <c r="D473" s="3">
        <f t="shared" si="11"/>
        <v>121.11666666666666</v>
      </c>
      <c r="E473" t="s">
        <v>12</v>
      </c>
      <c r="F473" t="s">
        <v>21</v>
      </c>
      <c r="G473" t="s">
        <v>97</v>
      </c>
      <c r="H473">
        <v>35</v>
      </c>
      <c r="I473" t="s">
        <v>12</v>
      </c>
      <c r="J473" t="s">
        <v>12</v>
      </c>
      <c r="K473" t="s">
        <v>15</v>
      </c>
      <c r="L473" t="s">
        <v>587</v>
      </c>
      <c r="M473" t="s">
        <v>890</v>
      </c>
      <c r="O473">
        <f>89/AVERAGE(89,57,76,86)*65</f>
        <v>75.129870129870127</v>
      </c>
      <c r="DU473">
        <v>0.5</v>
      </c>
      <c r="EG473">
        <v>0.5</v>
      </c>
    </row>
    <row r="474" spans="1:146" x14ac:dyDescent="0.25">
      <c r="A474" t="s">
        <v>586</v>
      </c>
      <c r="B474" t="s">
        <v>54</v>
      </c>
      <c r="C474" s="3">
        <f t="shared" si="10"/>
        <v>41.116666666666667</v>
      </c>
      <c r="D474" s="3">
        <f t="shared" si="11"/>
        <v>121.11666666666666</v>
      </c>
      <c r="E474" t="s">
        <v>12</v>
      </c>
      <c r="F474" t="s">
        <v>21</v>
      </c>
      <c r="G474" t="s">
        <v>97</v>
      </c>
      <c r="H474">
        <v>35</v>
      </c>
      <c r="I474" t="s">
        <v>12</v>
      </c>
      <c r="J474" t="s">
        <v>12</v>
      </c>
      <c r="K474" t="s">
        <v>15</v>
      </c>
      <c r="L474" t="s">
        <v>587</v>
      </c>
      <c r="M474" t="s">
        <v>890</v>
      </c>
      <c r="O474">
        <f>57/AVERAGE(89,57,76,86)*65</f>
        <v>48.116883116883116</v>
      </c>
      <c r="DX474">
        <v>0.5</v>
      </c>
      <c r="EJ474">
        <v>0.5</v>
      </c>
    </row>
    <row r="475" spans="1:146" x14ac:dyDescent="0.25">
      <c r="A475" t="s">
        <v>586</v>
      </c>
      <c r="B475" t="s">
        <v>54</v>
      </c>
      <c r="C475" s="3">
        <f t="shared" si="10"/>
        <v>41.116666666666667</v>
      </c>
      <c r="D475" s="3">
        <f t="shared" si="11"/>
        <v>121.11666666666666</v>
      </c>
      <c r="E475" t="s">
        <v>12</v>
      </c>
      <c r="F475" t="s">
        <v>21</v>
      </c>
      <c r="G475" t="s">
        <v>97</v>
      </c>
      <c r="H475">
        <v>35</v>
      </c>
      <c r="I475" t="s">
        <v>12</v>
      </c>
      <c r="J475" t="s">
        <v>12</v>
      </c>
      <c r="K475" t="s">
        <v>15</v>
      </c>
      <c r="L475" t="s">
        <v>587</v>
      </c>
      <c r="M475" t="s">
        <v>890</v>
      </c>
      <c r="O475">
        <f>76/AVERAGE(89,57,76,86)*65</f>
        <v>64.15584415584415</v>
      </c>
      <c r="EA475">
        <v>0.5</v>
      </c>
      <c r="EM475">
        <v>0.5</v>
      </c>
    </row>
    <row r="476" spans="1:146" x14ac:dyDescent="0.25">
      <c r="A476" t="s">
        <v>586</v>
      </c>
      <c r="B476" t="s">
        <v>54</v>
      </c>
      <c r="C476" s="3">
        <f t="shared" si="10"/>
        <v>41.116666666666667</v>
      </c>
      <c r="D476" s="3">
        <f t="shared" si="11"/>
        <v>121.11666666666666</v>
      </c>
      <c r="E476" t="s">
        <v>12</v>
      </c>
      <c r="F476" t="s">
        <v>21</v>
      </c>
      <c r="G476" t="s">
        <v>97</v>
      </c>
      <c r="H476">
        <v>35</v>
      </c>
      <c r="I476" t="s">
        <v>12</v>
      </c>
      <c r="J476" t="s">
        <v>12</v>
      </c>
      <c r="K476" t="s">
        <v>15</v>
      </c>
      <c r="L476" t="s">
        <v>587</v>
      </c>
      <c r="M476" t="s">
        <v>890</v>
      </c>
      <c r="O476">
        <f>86/AVERAGE(89,57,76,86)*65</f>
        <v>72.597402597402592</v>
      </c>
      <c r="ED476">
        <v>0.5</v>
      </c>
      <c r="EP476">
        <v>0.5</v>
      </c>
    </row>
    <row r="477" spans="1:146" x14ac:dyDescent="0.25">
      <c r="A477" t="s">
        <v>93</v>
      </c>
      <c r="B477" t="s">
        <v>54</v>
      </c>
      <c r="C477" s="3">
        <v>36.049999999999997</v>
      </c>
      <c r="D477" s="3">
        <v>103.83</v>
      </c>
      <c r="E477" t="s">
        <v>12</v>
      </c>
      <c r="F477" t="s">
        <v>77</v>
      </c>
      <c r="G477" t="s">
        <v>97</v>
      </c>
      <c r="H477">
        <v>45</v>
      </c>
      <c r="I477" t="s">
        <v>15</v>
      </c>
      <c r="J477" t="s">
        <v>15</v>
      </c>
      <c r="K477" t="s">
        <v>12</v>
      </c>
      <c r="L477" t="s">
        <v>363</v>
      </c>
      <c r="M477" t="s">
        <v>1018</v>
      </c>
      <c r="O477">
        <v>65</v>
      </c>
      <c r="P477">
        <v>29</v>
      </c>
      <c r="EK477">
        <v>0.5</v>
      </c>
      <c r="EL477">
        <v>0.5</v>
      </c>
    </row>
    <row r="478" spans="1:146" x14ac:dyDescent="0.25">
      <c r="A478" t="s">
        <v>93</v>
      </c>
      <c r="B478" t="s">
        <v>54</v>
      </c>
      <c r="C478" s="3">
        <v>35.94</v>
      </c>
      <c r="D478" s="3">
        <v>103.8</v>
      </c>
      <c r="E478" t="s">
        <v>12</v>
      </c>
      <c r="F478" t="s">
        <v>77</v>
      </c>
      <c r="G478" t="s">
        <v>95</v>
      </c>
      <c r="H478">
        <v>50</v>
      </c>
      <c r="I478" t="s">
        <v>12</v>
      </c>
      <c r="J478" t="s">
        <v>12</v>
      </c>
      <c r="K478" t="s">
        <v>15</v>
      </c>
      <c r="L478" t="s">
        <v>96</v>
      </c>
      <c r="M478" t="s">
        <v>1102</v>
      </c>
      <c r="O478">
        <f>(141+118)/2</f>
        <v>129.5</v>
      </c>
      <c r="P478">
        <f>(135+88)/2</f>
        <v>111.5</v>
      </c>
      <c r="Q478">
        <v>1</v>
      </c>
      <c r="R478">
        <v>1</v>
      </c>
      <c r="S478">
        <v>1</v>
      </c>
      <c r="T478">
        <v>1</v>
      </c>
      <c r="U478">
        <v>1</v>
      </c>
      <c r="V478">
        <v>1</v>
      </c>
      <c r="W478">
        <v>1</v>
      </c>
      <c r="X478">
        <v>1</v>
      </c>
      <c r="Y478">
        <v>1</v>
      </c>
      <c r="Z478">
        <v>1</v>
      </c>
      <c r="AA478">
        <v>1</v>
      </c>
      <c r="AB478">
        <v>1</v>
      </c>
    </row>
    <row r="479" spans="1:146" x14ac:dyDescent="0.25">
      <c r="A479" t="s">
        <v>93</v>
      </c>
      <c r="B479" t="s">
        <v>54</v>
      </c>
      <c r="C479" s="3">
        <v>35.94</v>
      </c>
      <c r="D479" s="3">
        <v>103.8</v>
      </c>
      <c r="E479" t="s">
        <v>12</v>
      </c>
      <c r="F479" t="s">
        <v>77</v>
      </c>
      <c r="G479" t="s">
        <v>95</v>
      </c>
      <c r="H479">
        <v>50</v>
      </c>
      <c r="I479" t="s">
        <v>12</v>
      </c>
      <c r="J479" t="s">
        <v>12</v>
      </c>
      <c r="K479" t="s">
        <v>15</v>
      </c>
      <c r="L479" t="s">
        <v>96</v>
      </c>
      <c r="M479" t="s">
        <v>1102</v>
      </c>
      <c r="O479">
        <f>(94+80)/2</f>
        <v>87</v>
      </c>
      <c r="P479">
        <f>(49+53)/2</f>
        <v>51</v>
      </c>
      <c r="AC479">
        <v>1</v>
      </c>
      <c r="AD479">
        <v>1</v>
      </c>
      <c r="AE479">
        <v>1</v>
      </c>
      <c r="AF479">
        <v>1</v>
      </c>
      <c r="AG479">
        <v>1</v>
      </c>
      <c r="AH479">
        <v>1</v>
      </c>
      <c r="AI479">
        <v>1</v>
      </c>
      <c r="AJ479">
        <v>1</v>
      </c>
      <c r="AK479">
        <v>1</v>
      </c>
      <c r="AL479">
        <v>1</v>
      </c>
      <c r="AM479">
        <v>1</v>
      </c>
      <c r="AN479">
        <v>1</v>
      </c>
    </row>
    <row r="480" spans="1:146" x14ac:dyDescent="0.25">
      <c r="A480" t="s">
        <v>146</v>
      </c>
      <c r="B480" t="s">
        <v>54</v>
      </c>
      <c r="C480" s="3">
        <v>30.22</v>
      </c>
      <c r="D480" s="3">
        <v>119.72</v>
      </c>
      <c r="E480" t="s">
        <v>12</v>
      </c>
      <c r="F480" t="s">
        <v>20</v>
      </c>
      <c r="G480" t="s">
        <v>76</v>
      </c>
      <c r="H480">
        <v>35</v>
      </c>
      <c r="I480" t="s">
        <v>15</v>
      </c>
      <c r="J480" t="s">
        <v>15</v>
      </c>
      <c r="K480" t="s">
        <v>12</v>
      </c>
      <c r="L480" t="s">
        <v>147</v>
      </c>
      <c r="M480" t="s">
        <v>1107</v>
      </c>
      <c r="O480">
        <v>90</v>
      </c>
      <c r="P480">
        <v>47</v>
      </c>
      <c r="BW480">
        <v>1</v>
      </c>
    </row>
    <row r="481" spans="1:227" x14ac:dyDescent="0.25">
      <c r="A481" t="s">
        <v>51</v>
      </c>
      <c r="B481" t="s">
        <v>54</v>
      </c>
      <c r="C481" s="3">
        <v>34.369999999999997</v>
      </c>
      <c r="D481" s="3">
        <v>109.21</v>
      </c>
      <c r="E481" t="s">
        <v>12</v>
      </c>
      <c r="F481" t="s">
        <v>20</v>
      </c>
      <c r="G481" t="s">
        <v>55</v>
      </c>
      <c r="I481" t="s">
        <v>15</v>
      </c>
      <c r="J481" t="s">
        <v>12</v>
      </c>
      <c r="K481" t="s">
        <v>12</v>
      </c>
      <c r="L481" t="s">
        <v>56</v>
      </c>
      <c r="M481" t="s">
        <v>1141</v>
      </c>
      <c r="O481">
        <v>209.8</v>
      </c>
      <c r="FO481">
        <v>0.5</v>
      </c>
      <c r="FP481">
        <v>0.5</v>
      </c>
    </row>
    <row r="482" spans="1:227" x14ac:dyDescent="0.25">
      <c r="A482" t="s">
        <v>51</v>
      </c>
      <c r="B482" t="s">
        <v>54</v>
      </c>
      <c r="C482" s="3">
        <v>34.369999999999997</v>
      </c>
      <c r="D482" s="3">
        <v>109.21</v>
      </c>
      <c r="E482" t="s">
        <v>12</v>
      </c>
      <c r="F482" t="s">
        <v>20</v>
      </c>
      <c r="G482" t="s">
        <v>55</v>
      </c>
      <c r="I482" t="s">
        <v>15</v>
      </c>
      <c r="J482" t="s">
        <v>12</v>
      </c>
      <c r="K482" t="s">
        <v>12</v>
      </c>
      <c r="L482" t="s">
        <v>56</v>
      </c>
      <c r="M482" t="s">
        <v>1141</v>
      </c>
      <c r="O482">
        <v>97.2</v>
      </c>
      <c r="FJ482">
        <v>1</v>
      </c>
    </row>
    <row r="483" spans="1:227" x14ac:dyDescent="0.25">
      <c r="A483" t="s">
        <v>62</v>
      </c>
      <c r="B483" t="s">
        <v>54</v>
      </c>
      <c r="C483" s="3">
        <v>36.25</v>
      </c>
      <c r="D483" s="3">
        <v>117.1</v>
      </c>
      <c r="E483" t="s">
        <v>15</v>
      </c>
      <c r="F483" t="s">
        <v>20</v>
      </c>
      <c r="G483" t="s">
        <v>106</v>
      </c>
      <c r="H483">
        <v>40</v>
      </c>
      <c r="I483" t="s">
        <v>12</v>
      </c>
      <c r="J483" t="s">
        <v>15</v>
      </c>
      <c r="K483" t="s">
        <v>12</v>
      </c>
      <c r="L483" t="s">
        <v>665</v>
      </c>
      <c r="M483" t="s">
        <v>854</v>
      </c>
      <c r="O483">
        <v>46.6</v>
      </c>
      <c r="EU483">
        <v>0.5</v>
      </c>
      <c r="EV483">
        <v>0.25</v>
      </c>
    </row>
    <row r="484" spans="1:227" x14ac:dyDescent="0.25">
      <c r="A484" t="s">
        <v>62</v>
      </c>
      <c r="B484" t="s">
        <v>54</v>
      </c>
      <c r="C484" s="3">
        <v>36.25</v>
      </c>
      <c r="D484" s="3">
        <v>117.1</v>
      </c>
      <c r="E484" t="s">
        <v>15</v>
      </c>
      <c r="F484" t="s">
        <v>20</v>
      </c>
      <c r="G484" t="s">
        <v>106</v>
      </c>
      <c r="H484">
        <v>40</v>
      </c>
      <c r="I484" t="s">
        <v>12</v>
      </c>
      <c r="J484" t="s">
        <v>15</v>
      </c>
      <c r="K484" t="s">
        <v>12</v>
      </c>
      <c r="L484" t="s">
        <v>665</v>
      </c>
      <c r="M484" t="s">
        <v>854</v>
      </c>
      <c r="O484">
        <v>123.1</v>
      </c>
      <c r="EX484">
        <v>1</v>
      </c>
    </row>
    <row r="485" spans="1:227" x14ac:dyDescent="0.25">
      <c r="A485" t="s">
        <v>62</v>
      </c>
      <c r="B485" t="s">
        <v>54</v>
      </c>
      <c r="C485" s="3">
        <v>36.25</v>
      </c>
      <c r="D485" s="3">
        <v>117.1</v>
      </c>
      <c r="E485" t="s">
        <v>15</v>
      </c>
      <c r="F485" t="s">
        <v>20</v>
      </c>
      <c r="G485" t="s">
        <v>106</v>
      </c>
      <c r="H485">
        <v>40</v>
      </c>
      <c r="I485" t="s">
        <v>12</v>
      </c>
      <c r="J485" t="s">
        <v>15</v>
      </c>
      <c r="K485" t="s">
        <v>12</v>
      </c>
      <c r="L485" t="s">
        <v>665</v>
      </c>
      <c r="M485" t="s">
        <v>854</v>
      </c>
      <c r="O485">
        <v>70.099999999999994</v>
      </c>
      <c r="FG485">
        <v>0.25</v>
      </c>
      <c r="FH485">
        <v>1</v>
      </c>
      <c r="FI485">
        <v>1</v>
      </c>
    </row>
    <row r="486" spans="1:227" x14ac:dyDescent="0.25">
      <c r="A486" t="s">
        <v>62</v>
      </c>
      <c r="B486" t="s">
        <v>54</v>
      </c>
      <c r="C486" s="3">
        <v>36.270000000000003</v>
      </c>
      <c r="D486" s="3">
        <v>117.09</v>
      </c>
      <c r="E486" t="s">
        <v>12</v>
      </c>
      <c r="F486" t="s">
        <v>20</v>
      </c>
      <c r="G486" t="s">
        <v>60</v>
      </c>
      <c r="I486" t="s">
        <v>12</v>
      </c>
      <c r="J486" t="s">
        <v>15</v>
      </c>
      <c r="K486" t="s">
        <v>15</v>
      </c>
      <c r="L486" t="s">
        <v>61</v>
      </c>
      <c r="M486" t="s">
        <v>1140</v>
      </c>
      <c r="O486">
        <v>63</v>
      </c>
      <c r="FG486">
        <v>0.5</v>
      </c>
      <c r="FH486">
        <v>0.5</v>
      </c>
    </row>
    <row r="487" spans="1:227" x14ac:dyDescent="0.25">
      <c r="A487" t="s">
        <v>62</v>
      </c>
      <c r="B487" t="s">
        <v>54</v>
      </c>
      <c r="C487" s="3">
        <v>36.270000000000003</v>
      </c>
      <c r="D487" s="3">
        <v>117.09</v>
      </c>
      <c r="E487" t="s">
        <v>12</v>
      </c>
      <c r="F487" t="s">
        <v>20</v>
      </c>
      <c r="G487" t="s">
        <v>60</v>
      </c>
      <c r="I487" t="s">
        <v>12</v>
      </c>
      <c r="J487" t="s">
        <v>15</v>
      </c>
      <c r="K487" t="s">
        <v>15</v>
      </c>
      <c r="L487" t="s">
        <v>61</v>
      </c>
      <c r="M487" t="s">
        <v>1140</v>
      </c>
      <c r="O487">
        <v>59.3</v>
      </c>
      <c r="FJ487">
        <v>0.5</v>
      </c>
      <c r="FK487">
        <v>0.5</v>
      </c>
    </row>
    <row r="488" spans="1:227" x14ac:dyDescent="0.25">
      <c r="A488" t="s">
        <v>160</v>
      </c>
      <c r="B488" t="s">
        <v>54</v>
      </c>
      <c r="C488" s="3">
        <f t="shared" ref="C488:C499" si="12">32+7/60+14/3600</f>
        <v>32.120555555555555</v>
      </c>
      <c r="D488" s="3">
        <f t="shared" ref="D488:D499" si="13">118+57/60+10/3600</f>
        <v>118.95277777777778</v>
      </c>
      <c r="E488" t="s">
        <v>15</v>
      </c>
      <c r="F488" t="s">
        <v>20</v>
      </c>
      <c r="G488" t="s">
        <v>657</v>
      </c>
      <c r="H488">
        <v>35</v>
      </c>
      <c r="I488" t="s">
        <v>12</v>
      </c>
      <c r="J488" t="s">
        <v>12</v>
      </c>
      <c r="K488" t="s">
        <v>12</v>
      </c>
      <c r="L488" t="s">
        <v>658</v>
      </c>
      <c r="M488" t="s">
        <v>861</v>
      </c>
      <c r="O488">
        <v>86.8</v>
      </c>
      <c r="HM488">
        <v>1</v>
      </c>
    </row>
    <row r="489" spans="1:227" x14ac:dyDescent="0.25">
      <c r="A489" t="s">
        <v>160</v>
      </c>
      <c r="B489" t="s">
        <v>54</v>
      </c>
      <c r="C489" s="3">
        <f t="shared" si="12"/>
        <v>32.120555555555555</v>
      </c>
      <c r="D489" s="3">
        <f t="shared" si="13"/>
        <v>118.95277777777778</v>
      </c>
      <c r="E489" t="s">
        <v>15</v>
      </c>
      <c r="F489" t="s">
        <v>20</v>
      </c>
      <c r="G489" t="s">
        <v>657</v>
      </c>
      <c r="H489">
        <v>35</v>
      </c>
      <c r="I489" t="s">
        <v>12</v>
      </c>
      <c r="J489" t="s">
        <v>12</v>
      </c>
      <c r="K489" t="s">
        <v>12</v>
      </c>
      <c r="L489" t="s">
        <v>658</v>
      </c>
      <c r="M489" t="s">
        <v>861</v>
      </c>
      <c r="O489">
        <v>68.400000000000006</v>
      </c>
      <c r="HN489">
        <v>1</v>
      </c>
    </row>
    <row r="490" spans="1:227" x14ac:dyDescent="0.25">
      <c r="A490" t="s">
        <v>160</v>
      </c>
      <c r="B490" t="s">
        <v>54</v>
      </c>
      <c r="C490" s="3">
        <f t="shared" si="12"/>
        <v>32.120555555555555</v>
      </c>
      <c r="D490" s="3">
        <f t="shared" si="13"/>
        <v>118.95277777777778</v>
      </c>
      <c r="E490" t="s">
        <v>15</v>
      </c>
      <c r="F490" t="s">
        <v>20</v>
      </c>
      <c r="G490" t="s">
        <v>657</v>
      </c>
      <c r="H490">
        <v>35</v>
      </c>
      <c r="I490" t="s">
        <v>12</v>
      </c>
      <c r="J490" t="s">
        <v>12</v>
      </c>
      <c r="K490" t="s">
        <v>12</v>
      </c>
      <c r="L490" t="s">
        <v>658</v>
      </c>
      <c r="M490" t="s">
        <v>861</v>
      </c>
      <c r="O490">
        <v>92</v>
      </c>
      <c r="HO490">
        <v>1</v>
      </c>
    </row>
    <row r="491" spans="1:227" x14ac:dyDescent="0.25">
      <c r="A491" t="s">
        <v>160</v>
      </c>
      <c r="B491" t="s">
        <v>54</v>
      </c>
      <c r="C491" s="3">
        <f t="shared" si="12"/>
        <v>32.120555555555555</v>
      </c>
      <c r="D491" s="3">
        <f t="shared" si="13"/>
        <v>118.95277777777778</v>
      </c>
      <c r="E491" t="s">
        <v>15</v>
      </c>
      <c r="F491" t="s">
        <v>20</v>
      </c>
      <c r="G491" t="s">
        <v>657</v>
      </c>
      <c r="H491">
        <v>35</v>
      </c>
      <c r="I491" t="s">
        <v>12</v>
      </c>
      <c r="J491" t="s">
        <v>12</v>
      </c>
      <c r="K491" t="s">
        <v>12</v>
      </c>
      <c r="L491" t="s">
        <v>658</v>
      </c>
      <c r="M491" t="s">
        <v>861</v>
      </c>
      <c r="O491">
        <v>66.099999999999994</v>
      </c>
      <c r="HP491">
        <v>1</v>
      </c>
    </row>
    <row r="492" spans="1:227" x14ac:dyDescent="0.25">
      <c r="A492" t="s">
        <v>160</v>
      </c>
      <c r="B492" t="s">
        <v>54</v>
      </c>
      <c r="C492" s="3">
        <f t="shared" si="12"/>
        <v>32.120555555555555</v>
      </c>
      <c r="D492" s="3">
        <f t="shared" si="13"/>
        <v>118.95277777777778</v>
      </c>
      <c r="E492" t="s">
        <v>15</v>
      </c>
      <c r="F492" t="s">
        <v>20</v>
      </c>
      <c r="G492" t="s">
        <v>657</v>
      </c>
      <c r="H492">
        <v>35</v>
      </c>
      <c r="I492" t="s">
        <v>12</v>
      </c>
      <c r="J492" t="s">
        <v>12</v>
      </c>
      <c r="K492" t="s">
        <v>12</v>
      </c>
      <c r="L492" t="s">
        <v>658</v>
      </c>
      <c r="M492" t="s">
        <v>861</v>
      </c>
      <c r="O492">
        <v>58</v>
      </c>
      <c r="HQ492">
        <v>1</v>
      </c>
    </row>
    <row r="493" spans="1:227" x14ac:dyDescent="0.25">
      <c r="A493" t="s">
        <v>160</v>
      </c>
      <c r="B493" t="s">
        <v>54</v>
      </c>
      <c r="C493" s="3">
        <f t="shared" si="12"/>
        <v>32.120555555555555</v>
      </c>
      <c r="D493" s="3">
        <f t="shared" si="13"/>
        <v>118.95277777777778</v>
      </c>
      <c r="E493" t="s">
        <v>15</v>
      </c>
      <c r="F493" t="s">
        <v>20</v>
      </c>
      <c r="G493" t="s">
        <v>657</v>
      </c>
      <c r="H493">
        <v>35</v>
      </c>
      <c r="I493" t="s">
        <v>12</v>
      </c>
      <c r="J493" t="s">
        <v>12</v>
      </c>
      <c r="K493" t="s">
        <v>12</v>
      </c>
      <c r="L493" t="s">
        <v>658</v>
      </c>
      <c r="M493" t="s">
        <v>861</v>
      </c>
      <c r="O493">
        <v>79.7</v>
      </c>
      <c r="HR493">
        <v>1</v>
      </c>
    </row>
    <row r="494" spans="1:227" x14ac:dyDescent="0.25">
      <c r="A494" t="s">
        <v>160</v>
      </c>
      <c r="B494" t="s">
        <v>54</v>
      </c>
      <c r="C494" s="3">
        <f t="shared" si="12"/>
        <v>32.120555555555555</v>
      </c>
      <c r="D494" s="3">
        <f t="shared" si="13"/>
        <v>118.95277777777778</v>
      </c>
      <c r="E494" t="s">
        <v>15</v>
      </c>
      <c r="F494" t="s">
        <v>20</v>
      </c>
      <c r="G494" t="s">
        <v>657</v>
      </c>
      <c r="H494">
        <v>35</v>
      </c>
      <c r="I494" t="s">
        <v>12</v>
      </c>
      <c r="J494" t="s">
        <v>12</v>
      </c>
      <c r="K494" t="s">
        <v>12</v>
      </c>
      <c r="L494" t="s">
        <v>658</v>
      </c>
      <c r="M494" t="s">
        <v>861</v>
      </c>
      <c r="O494">
        <v>38</v>
      </c>
      <c r="HS494">
        <v>1</v>
      </c>
    </row>
    <row r="495" spans="1:227" x14ac:dyDescent="0.25">
      <c r="A495" t="s">
        <v>160</v>
      </c>
      <c r="B495" t="s">
        <v>54</v>
      </c>
      <c r="C495" s="3">
        <f t="shared" si="12"/>
        <v>32.120555555555555</v>
      </c>
      <c r="D495" s="3">
        <f t="shared" si="13"/>
        <v>118.95277777777778</v>
      </c>
      <c r="E495" t="s">
        <v>15</v>
      </c>
      <c r="F495" t="s">
        <v>20</v>
      </c>
      <c r="G495" t="s">
        <v>657</v>
      </c>
      <c r="H495">
        <v>35</v>
      </c>
      <c r="I495" t="s">
        <v>12</v>
      </c>
      <c r="J495" t="s">
        <v>12</v>
      </c>
      <c r="K495" t="s">
        <v>12</v>
      </c>
      <c r="L495" t="s">
        <v>658</v>
      </c>
      <c r="M495" t="s">
        <v>861</v>
      </c>
      <c r="O495">
        <v>54.3</v>
      </c>
      <c r="HH495">
        <v>1</v>
      </c>
    </row>
    <row r="496" spans="1:227" x14ac:dyDescent="0.25">
      <c r="A496" t="s">
        <v>160</v>
      </c>
      <c r="B496" t="s">
        <v>54</v>
      </c>
      <c r="C496" s="3">
        <f t="shared" si="12"/>
        <v>32.120555555555555</v>
      </c>
      <c r="D496" s="3">
        <f t="shared" si="13"/>
        <v>118.95277777777778</v>
      </c>
      <c r="E496" t="s">
        <v>15</v>
      </c>
      <c r="F496" t="s">
        <v>20</v>
      </c>
      <c r="G496" t="s">
        <v>657</v>
      </c>
      <c r="H496">
        <v>35</v>
      </c>
      <c r="I496" t="s">
        <v>12</v>
      </c>
      <c r="J496" t="s">
        <v>12</v>
      </c>
      <c r="K496" t="s">
        <v>12</v>
      </c>
      <c r="L496" t="s">
        <v>658</v>
      </c>
      <c r="M496" t="s">
        <v>861</v>
      </c>
      <c r="O496">
        <v>67.900000000000006</v>
      </c>
      <c r="HI496">
        <v>1</v>
      </c>
    </row>
    <row r="497" spans="1:220" x14ac:dyDescent="0.25">
      <c r="A497" t="s">
        <v>160</v>
      </c>
      <c r="B497" t="s">
        <v>54</v>
      </c>
      <c r="C497" s="3">
        <f t="shared" si="12"/>
        <v>32.120555555555555</v>
      </c>
      <c r="D497" s="3">
        <f t="shared" si="13"/>
        <v>118.95277777777778</v>
      </c>
      <c r="E497" t="s">
        <v>15</v>
      </c>
      <c r="F497" t="s">
        <v>20</v>
      </c>
      <c r="G497" t="s">
        <v>657</v>
      </c>
      <c r="H497">
        <v>35</v>
      </c>
      <c r="I497" t="s">
        <v>12</v>
      </c>
      <c r="J497" t="s">
        <v>12</v>
      </c>
      <c r="K497" t="s">
        <v>12</v>
      </c>
      <c r="L497" t="s">
        <v>658</v>
      </c>
      <c r="M497" t="s">
        <v>861</v>
      </c>
      <c r="O497">
        <v>86.4</v>
      </c>
      <c r="HJ497">
        <v>1</v>
      </c>
    </row>
    <row r="498" spans="1:220" x14ac:dyDescent="0.25">
      <c r="A498" t="s">
        <v>160</v>
      </c>
      <c r="B498" t="s">
        <v>54</v>
      </c>
      <c r="C498" s="3">
        <f t="shared" si="12"/>
        <v>32.120555555555555</v>
      </c>
      <c r="D498" s="3">
        <f t="shared" si="13"/>
        <v>118.95277777777778</v>
      </c>
      <c r="E498" t="s">
        <v>15</v>
      </c>
      <c r="F498" t="s">
        <v>20</v>
      </c>
      <c r="G498" t="s">
        <v>657</v>
      </c>
      <c r="H498">
        <v>35</v>
      </c>
      <c r="I498" t="s">
        <v>12</v>
      </c>
      <c r="J498" t="s">
        <v>12</v>
      </c>
      <c r="K498" t="s">
        <v>12</v>
      </c>
      <c r="L498" t="s">
        <v>658</v>
      </c>
      <c r="M498" t="s">
        <v>861</v>
      </c>
      <c r="O498">
        <v>111</v>
      </c>
      <c r="HK498">
        <v>1</v>
      </c>
    </row>
    <row r="499" spans="1:220" x14ac:dyDescent="0.25">
      <c r="A499" t="s">
        <v>160</v>
      </c>
      <c r="B499" t="s">
        <v>54</v>
      </c>
      <c r="C499" s="3">
        <f t="shared" si="12"/>
        <v>32.120555555555555</v>
      </c>
      <c r="D499" s="3">
        <f t="shared" si="13"/>
        <v>118.95277777777778</v>
      </c>
      <c r="E499" t="s">
        <v>15</v>
      </c>
      <c r="F499" t="s">
        <v>20</v>
      </c>
      <c r="G499" t="s">
        <v>657</v>
      </c>
      <c r="H499">
        <v>35</v>
      </c>
      <c r="I499" t="s">
        <v>12</v>
      </c>
      <c r="J499" t="s">
        <v>12</v>
      </c>
      <c r="K499" t="s">
        <v>12</v>
      </c>
      <c r="L499" t="s">
        <v>658</v>
      </c>
      <c r="M499" t="s">
        <v>861</v>
      </c>
      <c r="O499">
        <v>98.2</v>
      </c>
      <c r="HL499">
        <v>1</v>
      </c>
    </row>
    <row r="500" spans="1:220" x14ac:dyDescent="0.25">
      <c r="A500" t="s">
        <v>160</v>
      </c>
      <c r="B500" t="s">
        <v>54</v>
      </c>
      <c r="C500" s="3">
        <f>AVERAGE(32+1/60+18.2/3600,32+1/60+20/3600,32+1+58.2/3600,32+3/60+42.9/3600,32+3/60+43.1/3600)</f>
        <v>32.236799999999995</v>
      </c>
      <c r="D500" s="3">
        <f>118+AVERAGE(47,48,50,50)/60+AVERAGE(4.7,21.5,47.9,48)/3600</f>
        <v>118.82097916666666</v>
      </c>
      <c r="E500" t="s">
        <v>15</v>
      </c>
      <c r="F500" t="s">
        <v>8</v>
      </c>
      <c r="G500" t="s">
        <v>106</v>
      </c>
      <c r="I500" t="s">
        <v>12</v>
      </c>
      <c r="J500" t="s">
        <v>15</v>
      </c>
      <c r="K500" t="s">
        <v>15</v>
      </c>
      <c r="L500" t="s">
        <v>1101</v>
      </c>
      <c r="M500" t="s">
        <v>1100</v>
      </c>
      <c r="N500" t="s">
        <v>164</v>
      </c>
      <c r="O500">
        <f>AVERAGE(149,144,215,180)</f>
        <v>172</v>
      </c>
      <c r="CL500">
        <v>1</v>
      </c>
      <c r="CM500">
        <v>1</v>
      </c>
      <c r="CN500">
        <v>1</v>
      </c>
      <c r="CO500">
        <v>1</v>
      </c>
      <c r="CP500">
        <v>1</v>
      </c>
      <c r="CQ500">
        <v>1</v>
      </c>
      <c r="CR500">
        <v>1</v>
      </c>
      <c r="CS500">
        <v>1</v>
      </c>
      <c r="CT500">
        <v>1</v>
      </c>
      <c r="CU500">
        <v>1</v>
      </c>
      <c r="CV500">
        <v>1</v>
      </c>
    </row>
    <row r="501" spans="1:220" x14ac:dyDescent="0.25">
      <c r="A501" t="s">
        <v>401</v>
      </c>
      <c r="B501" t="s">
        <v>54</v>
      </c>
      <c r="C501" s="3">
        <v>26.661100000000001</v>
      </c>
      <c r="D501" s="3">
        <v>119.5389</v>
      </c>
      <c r="E501" t="s">
        <v>15</v>
      </c>
      <c r="F501" t="s">
        <v>77</v>
      </c>
      <c r="G501" t="s">
        <v>76</v>
      </c>
      <c r="H501">
        <v>52</v>
      </c>
      <c r="I501" t="s">
        <v>15</v>
      </c>
      <c r="J501" t="s">
        <v>12</v>
      </c>
      <c r="K501" t="s">
        <v>12</v>
      </c>
      <c r="L501" t="s">
        <v>400</v>
      </c>
      <c r="M501" t="s">
        <v>997</v>
      </c>
      <c r="O501">
        <v>81.400000000000006</v>
      </c>
      <c r="P501">
        <v>26.4</v>
      </c>
      <c r="GY501">
        <v>0.5</v>
      </c>
    </row>
    <row r="502" spans="1:220" x14ac:dyDescent="0.25">
      <c r="A502" t="s">
        <v>401</v>
      </c>
      <c r="B502" t="s">
        <v>54</v>
      </c>
      <c r="C502" s="3">
        <v>26.661100000000001</v>
      </c>
      <c r="D502" s="3">
        <v>119.5389</v>
      </c>
      <c r="E502" t="s">
        <v>15</v>
      </c>
      <c r="F502" t="s">
        <v>77</v>
      </c>
      <c r="G502" t="s">
        <v>76</v>
      </c>
      <c r="H502">
        <v>52</v>
      </c>
      <c r="I502" t="s">
        <v>15</v>
      </c>
      <c r="J502" t="s">
        <v>12</v>
      </c>
      <c r="K502" t="s">
        <v>12</v>
      </c>
      <c r="L502" t="s">
        <v>400</v>
      </c>
      <c r="M502" t="s">
        <v>997</v>
      </c>
      <c r="O502">
        <v>110.4</v>
      </c>
      <c r="P502">
        <v>42.7</v>
      </c>
      <c r="HA502">
        <v>0.5</v>
      </c>
    </row>
    <row r="503" spans="1:220" x14ac:dyDescent="0.25">
      <c r="A503" t="s">
        <v>401</v>
      </c>
      <c r="B503" t="s">
        <v>54</v>
      </c>
      <c r="C503" s="3">
        <v>26.661100000000001</v>
      </c>
      <c r="D503" s="3">
        <v>119.5389</v>
      </c>
      <c r="E503" t="s">
        <v>15</v>
      </c>
      <c r="F503" t="s">
        <v>77</v>
      </c>
      <c r="G503" t="s">
        <v>76</v>
      </c>
      <c r="H503">
        <v>52</v>
      </c>
      <c r="I503" t="s">
        <v>15</v>
      </c>
      <c r="J503" t="s">
        <v>12</v>
      </c>
      <c r="K503" t="s">
        <v>12</v>
      </c>
      <c r="L503" t="s">
        <v>400</v>
      </c>
      <c r="M503" t="s">
        <v>997</v>
      </c>
      <c r="O503">
        <v>114</v>
      </c>
      <c r="P503">
        <v>35.299999999999997</v>
      </c>
      <c r="HD503">
        <v>0.5</v>
      </c>
    </row>
    <row r="504" spans="1:220" x14ac:dyDescent="0.25">
      <c r="A504" t="s">
        <v>401</v>
      </c>
      <c r="B504" t="s">
        <v>54</v>
      </c>
      <c r="C504" s="3">
        <v>26.661100000000001</v>
      </c>
      <c r="D504" s="3">
        <v>119.5389</v>
      </c>
      <c r="E504" t="s">
        <v>15</v>
      </c>
      <c r="F504" t="s">
        <v>77</v>
      </c>
      <c r="G504" t="s">
        <v>76</v>
      </c>
      <c r="H504">
        <v>52</v>
      </c>
      <c r="I504" t="s">
        <v>15</v>
      </c>
      <c r="J504" t="s">
        <v>12</v>
      </c>
      <c r="K504" t="s">
        <v>12</v>
      </c>
      <c r="L504" t="s">
        <v>400</v>
      </c>
      <c r="M504" t="s">
        <v>997</v>
      </c>
      <c r="O504">
        <v>37.4</v>
      </c>
      <c r="P504">
        <v>9.9</v>
      </c>
      <c r="HH504">
        <v>0.5</v>
      </c>
    </row>
    <row r="505" spans="1:220" x14ac:dyDescent="0.25">
      <c r="A505" t="s">
        <v>128</v>
      </c>
      <c r="B505" t="s">
        <v>54</v>
      </c>
      <c r="C505" s="3">
        <v>26.66</v>
      </c>
      <c r="D505" s="3">
        <v>119.547</v>
      </c>
      <c r="E505" t="s">
        <v>12</v>
      </c>
      <c r="F505" t="s">
        <v>77</v>
      </c>
      <c r="G505" t="s">
        <v>106</v>
      </c>
      <c r="H505">
        <v>50</v>
      </c>
      <c r="I505" t="s">
        <v>12</v>
      </c>
      <c r="J505" t="s">
        <v>12</v>
      </c>
      <c r="K505" t="s">
        <v>15</v>
      </c>
      <c r="L505" t="s">
        <v>133</v>
      </c>
      <c r="M505" t="s">
        <v>1111</v>
      </c>
      <c r="O505">
        <v>80.2</v>
      </c>
      <c r="P505">
        <v>30.1</v>
      </c>
      <c r="HH505">
        <v>0.5</v>
      </c>
    </row>
    <row r="506" spans="1:220" x14ac:dyDescent="0.25">
      <c r="A506" t="s">
        <v>166</v>
      </c>
      <c r="B506" t="s">
        <v>54</v>
      </c>
      <c r="C506" s="3">
        <v>39.590000000000003</v>
      </c>
      <c r="D506" s="3">
        <v>109.77</v>
      </c>
      <c r="E506" t="s">
        <v>12</v>
      </c>
      <c r="F506" t="s">
        <v>19</v>
      </c>
      <c r="G506" t="s">
        <v>106</v>
      </c>
      <c r="I506" t="s">
        <v>15</v>
      </c>
      <c r="J506" t="s">
        <v>15</v>
      </c>
      <c r="K506" t="s">
        <v>15</v>
      </c>
      <c r="L506" t="s">
        <v>167</v>
      </c>
      <c r="M506" t="s">
        <v>1092</v>
      </c>
      <c r="O506">
        <v>51.81</v>
      </c>
      <c r="EO506">
        <v>1</v>
      </c>
    </row>
    <row r="507" spans="1:220" x14ac:dyDescent="0.25">
      <c r="A507" t="s">
        <v>129</v>
      </c>
      <c r="B507" t="s">
        <v>54</v>
      </c>
      <c r="C507" s="3">
        <v>25.455300000000001</v>
      </c>
      <c r="D507" s="3">
        <v>119.0018</v>
      </c>
      <c r="E507" t="s">
        <v>15</v>
      </c>
      <c r="F507" t="s">
        <v>77</v>
      </c>
      <c r="G507" t="s">
        <v>76</v>
      </c>
      <c r="H507">
        <v>52</v>
      </c>
      <c r="I507" t="s">
        <v>15</v>
      </c>
      <c r="J507" t="s">
        <v>12</v>
      </c>
      <c r="K507" t="s">
        <v>12</v>
      </c>
      <c r="L507" t="s">
        <v>400</v>
      </c>
      <c r="M507" t="s">
        <v>997</v>
      </c>
      <c r="O507">
        <v>61.1</v>
      </c>
      <c r="P507">
        <v>37.5</v>
      </c>
      <c r="GY507">
        <v>0.5</v>
      </c>
    </row>
    <row r="508" spans="1:220" x14ac:dyDescent="0.25">
      <c r="A508" t="s">
        <v>129</v>
      </c>
      <c r="B508" t="s">
        <v>54</v>
      </c>
      <c r="C508" s="3">
        <v>25.455300000000001</v>
      </c>
      <c r="D508" s="3">
        <v>119.0018</v>
      </c>
      <c r="E508" t="s">
        <v>15</v>
      </c>
      <c r="F508" t="s">
        <v>77</v>
      </c>
      <c r="G508" t="s">
        <v>76</v>
      </c>
      <c r="H508">
        <v>52</v>
      </c>
      <c r="I508" t="s">
        <v>15</v>
      </c>
      <c r="J508" t="s">
        <v>12</v>
      </c>
      <c r="K508" t="s">
        <v>12</v>
      </c>
      <c r="L508" t="s">
        <v>400</v>
      </c>
      <c r="M508" t="s">
        <v>997</v>
      </c>
      <c r="O508">
        <v>65.5</v>
      </c>
      <c r="P508">
        <v>33.9</v>
      </c>
      <c r="HA508">
        <v>0.5</v>
      </c>
    </row>
    <row r="509" spans="1:220" x14ac:dyDescent="0.25">
      <c r="A509" t="s">
        <v>129</v>
      </c>
      <c r="B509" t="s">
        <v>54</v>
      </c>
      <c r="C509" s="3">
        <v>25.455300000000001</v>
      </c>
      <c r="D509" s="3">
        <v>119.0018</v>
      </c>
      <c r="E509" t="s">
        <v>15</v>
      </c>
      <c r="F509" t="s">
        <v>77</v>
      </c>
      <c r="G509" t="s">
        <v>76</v>
      </c>
      <c r="H509">
        <v>52</v>
      </c>
      <c r="I509" t="s">
        <v>15</v>
      </c>
      <c r="J509" t="s">
        <v>12</v>
      </c>
      <c r="K509" t="s">
        <v>12</v>
      </c>
      <c r="L509" t="s">
        <v>400</v>
      </c>
      <c r="M509" t="s">
        <v>997</v>
      </c>
      <c r="O509">
        <v>85</v>
      </c>
      <c r="P509">
        <v>22.3</v>
      </c>
      <c r="HD509">
        <v>0.5</v>
      </c>
    </row>
    <row r="510" spans="1:220" x14ac:dyDescent="0.25">
      <c r="A510" t="s">
        <v>129</v>
      </c>
      <c r="B510" t="s">
        <v>54</v>
      </c>
      <c r="C510" s="3">
        <v>25.455300000000001</v>
      </c>
      <c r="D510" s="3">
        <v>119.0018</v>
      </c>
      <c r="E510" t="s">
        <v>15</v>
      </c>
      <c r="F510" t="s">
        <v>77</v>
      </c>
      <c r="G510" t="s">
        <v>76</v>
      </c>
      <c r="H510">
        <v>52</v>
      </c>
      <c r="I510" t="s">
        <v>15</v>
      </c>
      <c r="J510" t="s">
        <v>12</v>
      </c>
      <c r="K510" t="s">
        <v>12</v>
      </c>
      <c r="L510" t="s">
        <v>400</v>
      </c>
      <c r="M510" t="s">
        <v>997</v>
      </c>
      <c r="O510">
        <v>55.3</v>
      </c>
      <c r="P510">
        <v>15.9</v>
      </c>
      <c r="HH510">
        <v>0.5</v>
      </c>
    </row>
    <row r="511" spans="1:220" x14ac:dyDescent="0.25">
      <c r="A511" t="s">
        <v>129</v>
      </c>
      <c r="B511" t="s">
        <v>54</v>
      </c>
      <c r="C511" s="3">
        <v>25.321400000000001</v>
      </c>
      <c r="D511" s="3">
        <v>119.1015</v>
      </c>
      <c r="E511" t="s">
        <v>15</v>
      </c>
      <c r="F511" t="s">
        <v>77</v>
      </c>
      <c r="G511" t="s">
        <v>76</v>
      </c>
      <c r="H511">
        <v>52</v>
      </c>
      <c r="I511" t="s">
        <v>15</v>
      </c>
      <c r="J511" t="s">
        <v>12</v>
      </c>
      <c r="K511" t="s">
        <v>12</v>
      </c>
      <c r="L511" t="s">
        <v>400</v>
      </c>
      <c r="M511" t="s">
        <v>997</v>
      </c>
      <c r="O511">
        <v>75.2</v>
      </c>
      <c r="P511">
        <v>23.5</v>
      </c>
      <c r="GY511">
        <v>0.5</v>
      </c>
    </row>
    <row r="512" spans="1:220" x14ac:dyDescent="0.25">
      <c r="A512" t="s">
        <v>129</v>
      </c>
      <c r="B512" t="s">
        <v>54</v>
      </c>
      <c r="C512" s="3">
        <v>25.321400000000001</v>
      </c>
      <c r="D512" s="3">
        <v>119.1015</v>
      </c>
      <c r="E512" t="s">
        <v>15</v>
      </c>
      <c r="F512" t="s">
        <v>77</v>
      </c>
      <c r="G512" t="s">
        <v>76</v>
      </c>
      <c r="H512">
        <v>52</v>
      </c>
      <c r="I512" t="s">
        <v>15</v>
      </c>
      <c r="J512" t="s">
        <v>12</v>
      </c>
      <c r="K512" t="s">
        <v>12</v>
      </c>
      <c r="L512" t="s">
        <v>400</v>
      </c>
      <c r="M512" t="s">
        <v>997</v>
      </c>
      <c r="O512">
        <v>96.3</v>
      </c>
      <c r="P512">
        <v>27.4</v>
      </c>
      <c r="HA512">
        <v>0.5</v>
      </c>
    </row>
    <row r="513" spans="1:216" x14ac:dyDescent="0.25">
      <c r="A513" t="s">
        <v>129</v>
      </c>
      <c r="B513" t="s">
        <v>54</v>
      </c>
      <c r="C513" s="3">
        <v>25.321400000000001</v>
      </c>
      <c r="D513" s="3">
        <v>119.1015</v>
      </c>
      <c r="E513" t="s">
        <v>15</v>
      </c>
      <c r="F513" t="s">
        <v>77</v>
      </c>
      <c r="G513" t="s">
        <v>76</v>
      </c>
      <c r="H513">
        <v>52</v>
      </c>
      <c r="I513" t="s">
        <v>15</v>
      </c>
      <c r="J513" t="s">
        <v>12</v>
      </c>
      <c r="K513" t="s">
        <v>12</v>
      </c>
      <c r="L513" t="s">
        <v>400</v>
      </c>
      <c r="M513" t="s">
        <v>997</v>
      </c>
      <c r="O513">
        <v>113.5</v>
      </c>
      <c r="P513">
        <v>39</v>
      </c>
      <c r="HD513">
        <v>0.5</v>
      </c>
    </row>
    <row r="514" spans="1:216" x14ac:dyDescent="0.25">
      <c r="A514" t="s">
        <v>129</v>
      </c>
      <c r="B514" t="s">
        <v>54</v>
      </c>
      <c r="C514" s="3">
        <v>25.321400000000001</v>
      </c>
      <c r="D514" s="3">
        <v>119.1015</v>
      </c>
      <c r="E514" t="s">
        <v>15</v>
      </c>
      <c r="F514" t="s">
        <v>77</v>
      </c>
      <c r="G514" t="s">
        <v>76</v>
      </c>
      <c r="H514">
        <v>52</v>
      </c>
      <c r="I514" t="s">
        <v>15</v>
      </c>
      <c r="J514" t="s">
        <v>12</v>
      </c>
      <c r="K514" t="s">
        <v>12</v>
      </c>
      <c r="L514" t="s">
        <v>400</v>
      </c>
      <c r="M514" t="s">
        <v>997</v>
      </c>
      <c r="O514">
        <v>57.4</v>
      </c>
      <c r="P514">
        <v>26.4</v>
      </c>
      <c r="HH514">
        <v>0.5</v>
      </c>
    </row>
    <row r="515" spans="1:216" x14ac:dyDescent="0.25">
      <c r="A515" t="s">
        <v>129</v>
      </c>
      <c r="B515" t="s">
        <v>54</v>
      </c>
      <c r="C515" s="3">
        <v>25.44</v>
      </c>
      <c r="D515" s="3">
        <v>119.04</v>
      </c>
      <c r="E515" t="s">
        <v>12</v>
      </c>
      <c r="F515" t="s">
        <v>77</v>
      </c>
      <c r="G515" t="s">
        <v>106</v>
      </c>
      <c r="H515">
        <v>50</v>
      </c>
      <c r="I515" t="s">
        <v>12</v>
      </c>
      <c r="J515" t="s">
        <v>12</v>
      </c>
      <c r="K515" t="s">
        <v>15</v>
      </c>
      <c r="L515" t="s">
        <v>133</v>
      </c>
      <c r="M515" t="s">
        <v>1111</v>
      </c>
      <c r="O515">
        <f>AVERAGE(60.2,74.6)</f>
        <v>67.400000000000006</v>
      </c>
      <c r="P515">
        <f>AVERAGE(23.8,12.3)</f>
        <v>18.05</v>
      </c>
      <c r="HH515">
        <v>0.5</v>
      </c>
    </row>
    <row r="516" spans="1:216" x14ac:dyDescent="0.25">
      <c r="A516" t="s">
        <v>88</v>
      </c>
      <c r="B516" t="s">
        <v>54</v>
      </c>
      <c r="C516" s="3">
        <f>39+22/60+27/3600</f>
        <v>39.374166666666667</v>
      </c>
      <c r="D516" s="3">
        <f>109+22/60+32/3600</f>
        <v>109.37555555555555</v>
      </c>
      <c r="E516" t="s">
        <v>15</v>
      </c>
      <c r="F516" t="s">
        <v>20</v>
      </c>
      <c r="G516" t="s">
        <v>76</v>
      </c>
      <c r="H516">
        <v>45</v>
      </c>
      <c r="I516" t="s">
        <v>12</v>
      </c>
      <c r="J516" t="s">
        <v>12</v>
      </c>
      <c r="K516" t="s">
        <v>12</v>
      </c>
      <c r="L516" t="s">
        <v>86</v>
      </c>
      <c r="M516" t="s">
        <v>1132</v>
      </c>
      <c r="O516">
        <v>36.450000000000003</v>
      </c>
      <c r="P516">
        <v>25.52</v>
      </c>
      <c r="EO516">
        <v>1</v>
      </c>
    </row>
    <row r="517" spans="1:216" x14ac:dyDescent="0.25">
      <c r="A517" t="s">
        <v>144</v>
      </c>
      <c r="B517" t="s">
        <v>54</v>
      </c>
      <c r="C517" s="3">
        <v>36</v>
      </c>
      <c r="D517" s="3">
        <v>120.3</v>
      </c>
      <c r="E517" t="s">
        <v>15</v>
      </c>
      <c r="F517" t="s">
        <v>77</v>
      </c>
      <c r="G517" t="s">
        <v>716</v>
      </c>
      <c r="I517" t="s">
        <v>15</v>
      </c>
      <c r="J517" t="s">
        <v>12</v>
      </c>
      <c r="K517" t="s">
        <v>12</v>
      </c>
      <c r="L517" t="s">
        <v>761</v>
      </c>
      <c r="M517" t="s">
        <v>819</v>
      </c>
      <c r="O517">
        <v>127.9</v>
      </c>
      <c r="P517">
        <v>59.5</v>
      </c>
      <c r="DI517">
        <v>1</v>
      </c>
    </row>
    <row r="518" spans="1:216" x14ac:dyDescent="0.25">
      <c r="A518" t="s">
        <v>144</v>
      </c>
      <c r="B518" t="s">
        <v>54</v>
      </c>
      <c r="C518" s="3">
        <v>36</v>
      </c>
      <c r="D518" s="3">
        <v>120.3</v>
      </c>
      <c r="E518" t="s">
        <v>15</v>
      </c>
      <c r="F518" t="s">
        <v>77</v>
      </c>
      <c r="G518" t="s">
        <v>716</v>
      </c>
      <c r="I518" t="s">
        <v>15</v>
      </c>
      <c r="J518" t="s">
        <v>12</v>
      </c>
      <c r="K518" t="s">
        <v>12</v>
      </c>
      <c r="L518" t="s">
        <v>761</v>
      </c>
      <c r="M518" t="s">
        <v>819</v>
      </c>
      <c r="O518">
        <v>30.1</v>
      </c>
      <c r="P518">
        <v>16.100000000000001</v>
      </c>
      <c r="DN518">
        <v>1</v>
      </c>
      <c r="DO518">
        <v>1</v>
      </c>
    </row>
    <row r="519" spans="1:216" x14ac:dyDescent="0.25">
      <c r="A519" t="s">
        <v>144</v>
      </c>
      <c r="B519" t="s">
        <v>54</v>
      </c>
      <c r="C519" s="3">
        <v>36.14</v>
      </c>
      <c r="D519" s="3">
        <v>120.48</v>
      </c>
      <c r="E519" t="s">
        <v>12</v>
      </c>
      <c r="F519" t="s">
        <v>20</v>
      </c>
      <c r="G519" t="s">
        <v>106</v>
      </c>
      <c r="H519">
        <v>45</v>
      </c>
      <c r="I519" t="s">
        <v>12</v>
      </c>
      <c r="J519" t="s">
        <v>15</v>
      </c>
      <c r="K519" t="s">
        <v>12</v>
      </c>
      <c r="L519" t="s">
        <v>143</v>
      </c>
      <c r="M519" t="s">
        <v>910</v>
      </c>
      <c r="O519">
        <v>38.15</v>
      </c>
      <c r="AW519">
        <v>1</v>
      </c>
    </row>
    <row r="520" spans="1:216" x14ac:dyDescent="0.25">
      <c r="A520" t="s">
        <v>144</v>
      </c>
      <c r="B520" t="s">
        <v>54</v>
      </c>
      <c r="C520" s="3">
        <v>36.14</v>
      </c>
      <c r="D520" s="3">
        <v>120.48</v>
      </c>
      <c r="E520" t="s">
        <v>12</v>
      </c>
      <c r="F520" t="s">
        <v>20</v>
      </c>
      <c r="G520" t="s">
        <v>106</v>
      </c>
      <c r="H520">
        <v>45</v>
      </c>
      <c r="I520" t="s">
        <v>12</v>
      </c>
      <c r="J520" t="s">
        <v>15</v>
      </c>
      <c r="K520" t="s">
        <v>12</v>
      </c>
      <c r="L520" t="s">
        <v>143</v>
      </c>
      <c r="M520" t="s">
        <v>910</v>
      </c>
      <c r="O520">
        <v>64.95</v>
      </c>
      <c r="AZ520">
        <v>1</v>
      </c>
    </row>
    <row r="521" spans="1:216" x14ac:dyDescent="0.25">
      <c r="A521" t="s">
        <v>144</v>
      </c>
      <c r="B521" t="s">
        <v>54</v>
      </c>
      <c r="C521" s="3">
        <v>36.14</v>
      </c>
      <c r="D521" s="3">
        <v>120.48</v>
      </c>
      <c r="E521" t="s">
        <v>12</v>
      </c>
      <c r="F521" t="s">
        <v>20</v>
      </c>
      <c r="G521" t="s">
        <v>106</v>
      </c>
      <c r="H521">
        <v>45</v>
      </c>
      <c r="I521" t="s">
        <v>12</v>
      </c>
      <c r="J521" t="s">
        <v>15</v>
      </c>
      <c r="K521" t="s">
        <v>12</v>
      </c>
      <c r="L521" t="s">
        <v>143</v>
      </c>
      <c r="M521" t="s">
        <v>910</v>
      </c>
      <c r="O521">
        <v>42.8</v>
      </c>
      <c r="BC521">
        <v>1</v>
      </c>
    </row>
    <row r="522" spans="1:216" x14ac:dyDescent="0.25">
      <c r="A522" t="s">
        <v>144</v>
      </c>
      <c r="B522" t="s">
        <v>54</v>
      </c>
      <c r="C522" s="3">
        <v>36.14</v>
      </c>
      <c r="D522" s="3">
        <v>120.48</v>
      </c>
      <c r="E522" t="s">
        <v>12</v>
      </c>
      <c r="F522" t="s">
        <v>20</v>
      </c>
      <c r="G522" t="s">
        <v>106</v>
      </c>
      <c r="H522">
        <v>45</v>
      </c>
      <c r="I522" t="s">
        <v>12</v>
      </c>
      <c r="J522" t="s">
        <v>15</v>
      </c>
      <c r="K522" t="s">
        <v>12</v>
      </c>
      <c r="L522" t="s">
        <v>143</v>
      </c>
      <c r="M522" t="s">
        <v>910</v>
      </c>
      <c r="O522">
        <v>43.66</v>
      </c>
      <c r="BE522">
        <v>1</v>
      </c>
    </row>
    <row r="523" spans="1:216" x14ac:dyDescent="0.25">
      <c r="A523" t="s">
        <v>144</v>
      </c>
      <c r="B523" t="s">
        <v>54</v>
      </c>
      <c r="C523" s="3">
        <v>36.14</v>
      </c>
      <c r="D523" s="3">
        <v>120.48</v>
      </c>
      <c r="E523" t="s">
        <v>12</v>
      </c>
      <c r="F523" t="s">
        <v>20</v>
      </c>
      <c r="G523" t="s">
        <v>106</v>
      </c>
      <c r="H523">
        <v>45</v>
      </c>
      <c r="I523" t="s">
        <v>12</v>
      </c>
      <c r="J523" t="s">
        <v>15</v>
      </c>
      <c r="K523" t="s">
        <v>12</v>
      </c>
      <c r="L523" t="s">
        <v>143</v>
      </c>
      <c r="M523" t="s">
        <v>910</v>
      </c>
      <c r="O523">
        <v>63.39</v>
      </c>
      <c r="BH523">
        <v>1</v>
      </c>
    </row>
    <row r="524" spans="1:216" x14ac:dyDescent="0.25">
      <c r="A524" t="s">
        <v>144</v>
      </c>
      <c r="B524" t="s">
        <v>54</v>
      </c>
      <c r="C524" s="3">
        <v>36.14</v>
      </c>
      <c r="D524" s="3">
        <v>120.48</v>
      </c>
      <c r="E524" t="s">
        <v>12</v>
      </c>
      <c r="F524" t="s">
        <v>20</v>
      </c>
      <c r="G524" t="s">
        <v>106</v>
      </c>
      <c r="H524">
        <v>45</v>
      </c>
      <c r="I524" t="s">
        <v>12</v>
      </c>
      <c r="J524" t="s">
        <v>15</v>
      </c>
      <c r="K524" t="s">
        <v>12</v>
      </c>
      <c r="L524" t="s">
        <v>143</v>
      </c>
      <c r="M524" t="s">
        <v>910</v>
      </c>
      <c r="O524">
        <v>44.32</v>
      </c>
      <c r="BK524">
        <v>1</v>
      </c>
    </row>
    <row r="525" spans="1:216" x14ac:dyDescent="0.25">
      <c r="A525" t="s">
        <v>144</v>
      </c>
      <c r="B525" t="s">
        <v>54</v>
      </c>
      <c r="C525" s="3">
        <v>36.14</v>
      </c>
      <c r="D525" s="3">
        <v>120.48</v>
      </c>
      <c r="E525" t="s">
        <v>12</v>
      </c>
      <c r="F525" t="s">
        <v>20</v>
      </c>
      <c r="G525" t="s">
        <v>106</v>
      </c>
      <c r="H525">
        <v>45</v>
      </c>
      <c r="I525" t="s">
        <v>12</v>
      </c>
      <c r="J525" t="s">
        <v>15</v>
      </c>
      <c r="K525" t="s">
        <v>12</v>
      </c>
      <c r="L525" t="s">
        <v>143</v>
      </c>
      <c r="M525" t="s">
        <v>910</v>
      </c>
      <c r="O525">
        <v>46.61</v>
      </c>
      <c r="BP525">
        <v>1</v>
      </c>
    </row>
    <row r="526" spans="1:216" x14ac:dyDescent="0.25">
      <c r="A526" t="s">
        <v>144</v>
      </c>
      <c r="B526" t="s">
        <v>54</v>
      </c>
      <c r="C526" s="3">
        <v>36.14</v>
      </c>
      <c r="D526" s="3">
        <v>120.48</v>
      </c>
      <c r="E526" t="s">
        <v>12</v>
      </c>
      <c r="F526" t="s">
        <v>20</v>
      </c>
      <c r="G526" t="s">
        <v>106</v>
      </c>
      <c r="H526">
        <v>45</v>
      </c>
      <c r="I526" t="s">
        <v>12</v>
      </c>
      <c r="J526" t="s">
        <v>15</v>
      </c>
      <c r="K526" t="s">
        <v>12</v>
      </c>
      <c r="L526" t="s">
        <v>143</v>
      </c>
      <c r="M526" t="s">
        <v>910</v>
      </c>
      <c r="O526">
        <v>52.16</v>
      </c>
      <c r="BR526">
        <v>1</v>
      </c>
    </row>
    <row r="527" spans="1:216" x14ac:dyDescent="0.25">
      <c r="A527" t="s">
        <v>144</v>
      </c>
      <c r="B527" t="s">
        <v>54</v>
      </c>
      <c r="C527" s="3">
        <v>36.14</v>
      </c>
      <c r="D527" s="3">
        <v>120.48</v>
      </c>
      <c r="E527" t="s">
        <v>12</v>
      </c>
      <c r="F527" t="s">
        <v>20</v>
      </c>
      <c r="G527" t="s">
        <v>106</v>
      </c>
      <c r="H527">
        <v>45</v>
      </c>
      <c r="I527" t="s">
        <v>12</v>
      </c>
      <c r="J527" t="s">
        <v>15</v>
      </c>
      <c r="K527" t="s">
        <v>12</v>
      </c>
      <c r="L527" t="s">
        <v>143</v>
      </c>
      <c r="M527" t="s">
        <v>910</v>
      </c>
      <c r="O527">
        <v>52.56</v>
      </c>
      <c r="BW527">
        <v>1</v>
      </c>
    </row>
    <row r="528" spans="1:216" x14ac:dyDescent="0.25">
      <c r="A528" t="s">
        <v>85</v>
      </c>
      <c r="B528" t="s">
        <v>54</v>
      </c>
      <c r="C528" s="3">
        <f>37+52/60+29.46/3600</f>
        <v>37.874850000000002</v>
      </c>
      <c r="D528" s="3">
        <f>107+10/60+17.8/3600</f>
        <v>107.17161111111112</v>
      </c>
      <c r="E528" t="s">
        <v>15</v>
      </c>
      <c r="F528" t="s">
        <v>22</v>
      </c>
      <c r="G528" t="s">
        <v>76</v>
      </c>
      <c r="H528">
        <v>45</v>
      </c>
      <c r="I528" t="s">
        <v>12</v>
      </c>
      <c r="J528" t="s">
        <v>12</v>
      </c>
      <c r="K528" t="s">
        <v>12</v>
      </c>
      <c r="L528" t="s">
        <v>86</v>
      </c>
      <c r="M528" t="s">
        <v>1132</v>
      </c>
      <c r="O528">
        <v>44.79</v>
      </c>
      <c r="P528">
        <v>20.63</v>
      </c>
      <c r="EO528">
        <v>1</v>
      </c>
    </row>
    <row r="529" spans="1:216" x14ac:dyDescent="0.25">
      <c r="A529" t="s">
        <v>130</v>
      </c>
      <c r="B529" t="s">
        <v>54</v>
      </c>
      <c r="C529" s="3">
        <v>24.8977</v>
      </c>
      <c r="D529" s="3">
        <v>118.5973</v>
      </c>
      <c r="E529" t="s">
        <v>15</v>
      </c>
      <c r="F529" t="s">
        <v>77</v>
      </c>
      <c r="G529" t="s">
        <v>76</v>
      </c>
      <c r="H529">
        <v>52</v>
      </c>
      <c r="I529" t="s">
        <v>15</v>
      </c>
      <c r="J529" t="s">
        <v>12</v>
      </c>
      <c r="K529" t="s">
        <v>12</v>
      </c>
      <c r="L529" t="s">
        <v>400</v>
      </c>
      <c r="M529" t="s">
        <v>997</v>
      </c>
      <c r="O529">
        <v>81.400000000000006</v>
      </c>
      <c r="P529">
        <v>23.9</v>
      </c>
      <c r="GY529">
        <v>0.5</v>
      </c>
    </row>
    <row r="530" spans="1:216" x14ac:dyDescent="0.25">
      <c r="A530" t="s">
        <v>130</v>
      </c>
      <c r="B530" t="s">
        <v>54</v>
      </c>
      <c r="C530" s="3">
        <v>24.8977</v>
      </c>
      <c r="D530" s="3">
        <v>118.5973</v>
      </c>
      <c r="E530" t="s">
        <v>15</v>
      </c>
      <c r="F530" t="s">
        <v>77</v>
      </c>
      <c r="G530" t="s">
        <v>76</v>
      </c>
      <c r="H530">
        <v>52</v>
      </c>
      <c r="I530" t="s">
        <v>15</v>
      </c>
      <c r="J530" t="s">
        <v>12</v>
      </c>
      <c r="K530" t="s">
        <v>12</v>
      </c>
      <c r="L530" t="s">
        <v>400</v>
      </c>
      <c r="M530" t="s">
        <v>997</v>
      </c>
      <c r="O530">
        <v>113.3</v>
      </c>
      <c r="P530">
        <v>19.8</v>
      </c>
      <c r="HA530">
        <v>0.5</v>
      </c>
    </row>
    <row r="531" spans="1:216" x14ac:dyDescent="0.25">
      <c r="A531" t="s">
        <v>130</v>
      </c>
      <c r="B531" t="s">
        <v>54</v>
      </c>
      <c r="C531" s="3">
        <v>24.8977</v>
      </c>
      <c r="D531" s="3">
        <v>118.5973</v>
      </c>
      <c r="E531" t="s">
        <v>15</v>
      </c>
      <c r="F531" t="s">
        <v>77</v>
      </c>
      <c r="G531" t="s">
        <v>76</v>
      </c>
      <c r="H531">
        <v>52</v>
      </c>
      <c r="I531" t="s">
        <v>15</v>
      </c>
      <c r="J531" t="s">
        <v>12</v>
      </c>
      <c r="K531" t="s">
        <v>12</v>
      </c>
      <c r="L531" t="s">
        <v>400</v>
      </c>
      <c r="M531" t="s">
        <v>997</v>
      </c>
      <c r="O531">
        <v>95.8</v>
      </c>
      <c r="P531">
        <v>24.5</v>
      </c>
      <c r="HD531">
        <v>0.5</v>
      </c>
    </row>
    <row r="532" spans="1:216" x14ac:dyDescent="0.25">
      <c r="A532" t="s">
        <v>130</v>
      </c>
      <c r="B532" t="s">
        <v>54</v>
      </c>
      <c r="C532" s="3">
        <v>24.8977</v>
      </c>
      <c r="D532" s="3">
        <v>118.5973</v>
      </c>
      <c r="E532" t="s">
        <v>15</v>
      </c>
      <c r="F532" t="s">
        <v>77</v>
      </c>
      <c r="G532" t="s">
        <v>76</v>
      </c>
      <c r="H532">
        <v>52</v>
      </c>
      <c r="I532" t="s">
        <v>15</v>
      </c>
      <c r="J532" t="s">
        <v>12</v>
      </c>
      <c r="K532" t="s">
        <v>12</v>
      </c>
      <c r="L532" t="s">
        <v>400</v>
      </c>
      <c r="M532" t="s">
        <v>997</v>
      </c>
      <c r="O532">
        <v>52</v>
      </c>
      <c r="P532">
        <v>22.9</v>
      </c>
      <c r="HH532">
        <v>0.5</v>
      </c>
    </row>
    <row r="533" spans="1:216" x14ac:dyDescent="0.25">
      <c r="A533" t="s">
        <v>130</v>
      </c>
      <c r="B533" t="s">
        <v>54</v>
      </c>
      <c r="C533" s="3">
        <v>24.732299999999999</v>
      </c>
      <c r="D533" s="3">
        <v>118.6605</v>
      </c>
      <c r="E533" t="s">
        <v>15</v>
      </c>
      <c r="F533" t="s">
        <v>77</v>
      </c>
      <c r="G533" t="s">
        <v>76</v>
      </c>
      <c r="H533">
        <v>52</v>
      </c>
      <c r="I533" t="s">
        <v>15</v>
      </c>
      <c r="J533" t="s">
        <v>12</v>
      </c>
      <c r="K533" t="s">
        <v>12</v>
      </c>
      <c r="L533" t="s">
        <v>400</v>
      </c>
      <c r="M533" t="s">
        <v>997</v>
      </c>
      <c r="O533">
        <v>55.4</v>
      </c>
      <c r="P533">
        <v>18.7</v>
      </c>
      <c r="GY533">
        <v>0.5</v>
      </c>
    </row>
    <row r="534" spans="1:216" x14ac:dyDescent="0.25">
      <c r="A534" t="s">
        <v>130</v>
      </c>
      <c r="B534" t="s">
        <v>54</v>
      </c>
      <c r="C534" s="3">
        <v>24.732299999999999</v>
      </c>
      <c r="D534" s="3">
        <v>118.6605</v>
      </c>
      <c r="E534" t="s">
        <v>15</v>
      </c>
      <c r="F534" t="s">
        <v>77</v>
      </c>
      <c r="G534" t="s">
        <v>76</v>
      </c>
      <c r="H534">
        <v>52</v>
      </c>
      <c r="I534" t="s">
        <v>15</v>
      </c>
      <c r="J534" t="s">
        <v>12</v>
      </c>
      <c r="K534" t="s">
        <v>12</v>
      </c>
      <c r="L534" t="s">
        <v>400</v>
      </c>
      <c r="M534" t="s">
        <v>997</v>
      </c>
      <c r="O534">
        <v>85.6</v>
      </c>
      <c r="P534">
        <v>20.100000000000001</v>
      </c>
      <c r="HA534">
        <v>0.5</v>
      </c>
    </row>
    <row r="535" spans="1:216" x14ac:dyDescent="0.25">
      <c r="A535" t="s">
        <v>130</v>
      </c>
      <c r="B535" t="s">
        <v>54</v>
      </c>
      <c r="C535" s="3">
        <v>24.732299999999999</v>
      </c>
      <c r="D535" s="3">
        <v>118.6605</v>
      </c>
      <c r="E535" t="s">
        <v>15</v>
      </c>
      <c r="F535" t="s">
        <v>77</v>
      </c>
      <c r="G535" t="s">
        <v>76</v>
      </c>
      <c r="H535">
        <v>52</v>
      </c>
      <c r="I535" t="s">
        <v>15</v>
      </c>
      <c r="J535" t="s">
        <v>12</v>
      </c>
      <c r="K535" t="s">
        <v>12</v>
      </c>
      <c r="L535" t="s">
        <v>400</v>
      </c>
      <c r="M535" t="s">
        <v>997</v>
      </c>
      <c r="O535">
        <v>83.8</v>
      </c>
      <c r="P535">
        <v>18.399999999999999</v>
      </c>
      <c r="HD535">
        <v>0.5</v>
      </c>
    </row>
    <row r="536" spans="1:216" x14ac:dyDescent="0.25">
      <c r="A536" t="s">
        <v>130</v>
      </c>
      <c r="B536" t="s">
        <v>54</v>
      </c>
      <c r="C536" s="3">
        <v>24.732299999999999</v>
      </c>
      <c r="D536" s="3">
        <v>118.6605</v>
      </c>
      <c r="E536" t="s">
        <v>15</v>
      </c>
      <c r="F536" t="s">
        <v>77</v>
      </c>
      <c r="G536" t="s">
        <v>76</v>
      </c>
      <c r="H536">
        <v>52</v>
      </c>
      <c r="I536" t="s">
        <v>15</v>
      </c>
      <c r="J536" t="s">
        <v>12</v>
      </c>
      <c r="K536" t="s">
        <v>12</v>
      </c>
      <c r="L536" t="s">
        <v>400</v>
      </c>
      <c r="M536" t="s">
        <v>997</v>
      </c>
      <c r="O536">
        <v>35.799999999999997</v>
      </c>
      <c r="P536">
        <v>17.100000000000001</v>
      </c>
      <c r="HH536">
        <v>0.5</v>
      </c>
    </row>
    <row r="537" spans="1:216" x14ac:dyDescent="0.25">
      <c r="A537" t="s">
        <v>130</v>
      </c>
      <c r="B537" t="s">
        <v>54</v>
      </c>
      <c r="C537" s="3">
        <v>24.88</v>
      </c>
      <c r="D537" s="3">
        <v>118.59</v>
      </c>
      <c r="E537" t="s">
        <v>12</v>
      </c>
      <c r="F537" t="s">
        <v>21</v>
      </c>
      <c r="G537" t="s">
        <v>106</v>
      </c>
      <c r="H537">
        <v>50</v>
      </c>
      <c r="I537" t="s">
        <v>12</v>
      </c>
      <c r="J537" t="s">
        <v>12</v>
      </c>
      <c r="K537" t="s">
        <v>15</v>
      </c>
      <c r="L537" t="s">
        <v>133</v>
      </c>
      <c r="M537" t="s">
        <v>1111</v>
      </c>
      <c r="O537">
        <v>65.7</v>
      </c>
      <c r="P537">
        <v>19.2</v>
      </c>
      <c r="HH537">
        <v>0.5</v>
      </c>
    </row>
    <row r="538" spans="1:216" x14ac:dyDescent="0.25">
      <c r="A538" t="s">
        <v>83</v>
      </c>
      <c r="B538" t="s">
        <v>54</v>
      </c>
      <c r="C538" s="3">
        <f>40+39/60</f>
        <v>40.65</v>
      </c>
      <c r="D538" s="3">
        <f>117+7/60</f>
        <v>117.11666666666666</v>
      </c>
      <c r="E538" t="s">
        <v>15</v>
      </c>
      <c r="F538" t="s">
        <v>20</v>
      </c>
      <c r="G538" t="s">
        <v>76</v>
      </c>
      <c r="I538" t="s">
        <v>15</v>
      </c>
      <c r="J538" t="s">
        <v>15</v>
      </c>
      <c r="K538" t="s">
        <v>15</v>
      </c>
      <c r="L538" t="s">
        <v>84</v>
      </c>
      <c r="M538" t="s">
        <v>1133</v>
      </c>
      <c r="O538">
        <v>71.790000000000006</v>
      </c>
      <c r="P538">
        <v>47.51</v>
      </c>
      <c r="GF538">
        <v>1</v>
      </c>
      <c r="GI538">
        <v>1</v>
      </c>
      <c r="GL538">
        <v>1</v>
      </c>
      <c r="GO538">
        <v>1</v>
      </c>
    </row>
    <row r="539" spans="1:216" x14ac:dyDescent="0.25">
      <c r="A539" t="s">
        <v>545</v>
      </c>
      <c r="B539" t="s">
        <v>54</v>
      </c>
      <c r="C539" s="3">
        <f t="shared" ref="C539:C550" si="14">44+54/60</f>
        <v>44.9</v>
      </c>
      <c r="D539" s="3">
        <f t="shared" ref="D539:D550" si="15">110+7/60</f>
        <v>110.11666666666666</v>
      </c>
      <c r="E539" t="s">
        <v>15</v>
      </c>
      <c r="F539" t="s">
        <v>20</v>
      </c>
      <c r="G539" t="s">
        <v>673</v>
      </c>
      <c r="I539" t="s">
        <v>12</v>
      </c>
      <c r="J539" t="s">
        <v>12</v>
      </c>
      <c r="K539" t="s">
        <v>12</v>
      </c>
      <c r="L539" t="s">
        <v>675</v>
      </c>
      <c r="M539" t="s">
        <v>852</v>
      </c>
      <c r="O539">
        <v>5</v>
      </c>
      <c r="FQ539">
        <v>1</v>
      </c>
    </row>
    <row r="540" spans="1:216" x14ac:dyDescent="0.25">
      <c r="A540" t="s">
        <v>545</v>
      </c>
      <c r="B540" t="s">
        <v>54</v>
      </c>
      <c r="C540" s="3">
        <f t="shared" si="14"/>
        <v>44.9</v>
      </c>
      <c r="D540" s="3">
        <f t="shared" si="15"/>
        <v>110.11666666666666</v>
      </c>
      <c r="E540" t="s">
        <v>15</v>
      </c>
      <c r="F540" t="s">
        <v>20</v>
      </c>
      <c r="G540" t="s">
        <v>673</v>
      </c>
      <c r="I540" t="s">
        <v>12</v>
      </c>
      <c r="J540" t="s">
        <v>12</v>
      </c>
      <c r="K540" t="s">
        <v>12</v>
      </c>
      <c r="L540" t="s">
        <v>675</v>
      </c>
      <c r="M540" t="s">
        <v>852</v>
      </c>
      <c r="O540">
        <v>8</v>
      </c>
      <c r="FR540">
        <v>1</v>
      </c>
    </row>
    <row r="541" spans="1:216" x14ac:dyDescent="0.25">
      <c r="A541" t="s">
        <v>545</v>
      </c>
      <c r="B541" t="s">
        <v>54</v>
      </c>
      <c r="C541" s="3">
        <f t="shared" si="14"/>
        <v>44.9</v>
      </c>
      <c r="D541" s="3">
        <f t="shared" si="15"/>
        <v>110.11666666666666</v>
      </c>
      <c r="E541" t="s">
        <v>15</v>
      </c>
      <c r="F541" t="s">
        <v>20</v>
      </c>
      <c r="G541" t="s">
        <v>673</v>
      </c>
      <c r="I541" t="s">
        <v>12</v>
      </c>
      <c r="J541" t="s">
        <v>12</v>
      </c>
      <c r="K541" t="s">
        <v>12</v>
      </c>
      <c r="L541" t="s">
        <v>675</v>
      </c>
      <c r="M541" t="s">
        <v>852</v>
      </c>
      <c r="O541">
        <v>10</v>
      </c>
      <c r="FS541">
        <v>1</v>
      </c>
    </row>
    <row r="542" spans="1:216" x14ac:dyDescent="0.25">
      <c r="A542" t="s">
        <v>545</v>
      </c>
      <c r="B542" t="s">
        <v>54</v>
      </c>
      <c r="C542" s="3">
        <f t="shared" si="14"/>
        <v>44.9</v>
      </c>
      <c r="D542" s="3">
        <f t="shared" si="15"/>
        <v>110.11666666666666</v>
      </c>
      <c r="E542" t="s">
        <v>15</v>
      </c>
      <c r="F542" t="s">
        <v>20</v>
      </c>
      <c r="G542" t="s">
        <v>673</v>
      </c>
      <c r="I542" t="s">
        <v>12</v>
      </c>
      <c r="J542" t="s">
        <v>12</v>
      </c>
      <c r="K542" t="s">
        <v>12</v>
      </c>
      <c r="L542" t="s">
        <v>675</v>
      </c>
      <c r="M542" t="s">
        <v>852</v>
      </c>
      <c r="O542">
        <v>6</v>
      </c>
      <c r="FT542">
        <v>1</v>
      </c>
    </row>
    <row r="543" spans="1:216" x14ac:dyDescent="0.25">
      <c r="A543" t="s">
        <v>545</v>
      </c>
      <c r="B543" t="s">
        <v>54</v>
      </c>
      <c r="C543" s="3">
        <f t="shared" si="14"/>
        <v>44.9</v>
      </c>
      <c r="D543" s="3">
        <f t="shared" si="15"/>
        <v>110.11666666666666</v>
      </c>
      <c r="E543" t="s">
        <v>15</v>
      </c>
      <c r="F543" t="s">
        <v>20</v>
      </c>
      <c r="G543" t="s">
        <v>673</v>
      </c>
      <c r="I543" t="s">
        <v>12</v>
      </c>
      <c r="J543" t="s">
        <v>12</v>
      </c>
      <c r="K543" t="s">
        <v>12</v>
      </c>
      <c r="L543" t="s">
        <v>675</v>
      </c>
      <c r="M543" t="s">
        <v>852</v>
      </c>
      <c r="O543">
        <v>20</v>
      </c>
      <c r="FU543">
        <v>1</v>
      </c>
    </row>
    <row r="544" spans="1:216" x14ac:dyDescent="0.25">
      <c r="A544" t="s">
        <v>545</v>
      </c>
      <c r="B544" t="s">
        <v>54</v>
      </c>
      <c r="C544" s="3">
        <f t="shared" si="14"/>
        <v>44.9</v>
      </c>
      <c r="D544" s="3">
        <f t="shared" si="15"/>
        <v>110.11666666666666</v>
      </c>
      <c r="E544" t="s">
        <v>15</v>
      </c>
      <c r="F544" t="s">
        <v>20</v>
      </c>
      <c r="G544" t="s">
        <v>673</v>
      </c>
      <c r="I544" t="s">
        <v>12</v>
      </c>
      <c r="J544" t="s">
        <v>12</v>
      </c>
      <c r="K544" t="s">
        <v>12</v>
      </c>
      <c r="L544" t="s">
        <v>675</v>
      </c>
      <c r="M544" t="s">
        <v>852</v>
      </c>
      <c r="O544">
        <v>5</v>
      </c>
      <c r="FV544">
        <v>1</v>
      </c>
    </row>
    <row r="545" spans="1:198" x14ac:dyDescent="0.25">
      <c r="A545" t="s">
        <v>545</v>
      </c>
      <c r="B545" t="s">
        <v>54</v>
      </c>
      <c r="C545" s="3">
        <f t="shared" si="14"/>
        <v>44.9</v>
      </c>
      <c r="D545" s="3">
        <f t="shared" si="15"/>
        <v>110.11666666666666</v>
      </c>
      <c r="E545" t="s">
        <v>15</v>
      </c>
      <c r="F545" t="s">
        <v>20</v>
      </c>
      <c r="G545" t="s">
        <v>673</v>
      </c>
      <c r="I545" t="s">
        <v>12</v>
      </c>
      <c r="J545" t="s">
        <v>12</v>
      </c>
      <c r="K545" t="s">
        <v>12</v>
      </c>
      <c r="L545" t="s">
        <v>675</v>
      </c>
      <c r="M545" t="s">
        <v>852</v>
      </c>
      <c r="O545">
        <v>4</v>
      </c>
      <c r="FW545">
        <v>1</v>
      </c>
    </row>
    <row r="546" spans="1:198" x14ac:dyDescent="0.25">
      <c r="A546" t="s">
        <v>545</v>
      </c>
      <c r="B546" t="s">
        <v>54</v>
      </c>
      <c r="C546" s="3">
        <f t="shared" si="14"/>
        <v>44.9</v>
      </c>
      <c r="D546" s="3">
        <f t="shared" si="15"/>
        <v>110.11666666666666</v>
      </c>
      <c r="E546" t="s">
        <v>15</v>
      </c>
      <c r="F546" t="s">
        <v>20</v>
      </c>
      <c r="G546" t="s">
        <v>673</v>
      </c>
      <c r="I546" t="s">
        <v>12</v>
      </c>
      <c r="J546" t="s">
        <v>12</v>
      </c>
      <c r="K546" t="s">
        <v>12</v>
      </c>
      <c r="L546" t="s">
        <v>675</v>
      </c>
      <c r="M546" t="s">
        <v>852</v>
      </c>
      <c r="O546">
        <v>4</v>
      </c>
      <c r="FX546">
        <v>1</v>
      </c>
    </row>
    <row r="547" spans="1:198" x14ac:dyDescent="0.25">
      <c r="A547" t="s">
        <v>545</v>
      </c>
      <c r="B547" t="s">
        <v>54</v>
      </c>
      <c r="C547" s="3">
        <f t="shared" si="14"/>
        <v>44.9</v>
      </c>
      <c r="D547" s="3">
        <f t="shared" si="15"/>
        <v>110.11666666666666</v>
      </c>
      <c r="E547" t="s">
        <v>15</v>
      </c>
      <c r="F547" t="s">
        <v>20</v>
      </c>
      <c r="G547" t="s">
        <v>673</v>
      </c>
      <c r="I547" t="s">
        <v>12</v>
      </c>
      <c r="J547" t="s">
        <v>12</v>
      </c>
      <c r="K547" t="s">
        <v>12</v>
      </c>
      <c r="L547" t="s">
        <v>675</v>
      </c>
      <c r="M547" t="s">
        <v>852</v>
      </c>
      <c r="O547">
        <v>3</v>
      </c>
      <c r="FY547">
        <v>1</v>
      </c>
    </row>
    <row r="548" spans="1:198" x14ac:dyDescent="0.25">
      <c r="A548" t="s">
        <v>545</v>
      </c>
      <c r="B548" t="s">
        <v>54</v>
      </c>
      <c r="C548" s="3">
        <f t="shared" si="14"/>
        <v>44.9</v>
      </c>
      <c r="D548" s="3">
        <f t="shared" si="15"/>
        <v>110.11666666666666</v>
      </c>
      <c r="E548" t="s">
        <v>15</v>
      </c>
      <c r="F548" t="s">
        <v>20</v>
      </c>
      <c r="G548" t="s">
        <v>673</v>
      </c>
      <c r="I548" t="s">
        <v>12</v>
      </c>
      <c r="J548" t="s">
        <v>12</v>
      </c>
      <c r="K548" t="s">
        <v>12</v>
      </c>
      <c r="L548" t="s">
        <v>675</v>
      </c>
      <c r="M548" t="s">
        <v>852</v>
      </c>
      <c r="O548">
        <v>3</v>
      </c>
      <c r="FZ548">
        <v>1</v>
      </c>
    </row>
    <row r="549" spans="1:198" x14ac:dyDescent="0.25">
      <c r="A549" t="s">
        <v>545</v>
      </c>
      <c r="B549" t="s">
        <v>54</v>
      </c>
      <c r="C549" s="3">
        <f t="shared" si="14"/>
        <v>44.9</v>
      </c>
      <c r="D549" s="3">
        <f t="shared" si="15"/>
        <v>110.11666666666666</v>
      </c>
      <c r="E549" t="s">
        <v>15</v>
      </c>
      <c r="F549" t="s">
        <v>20</v>
      </c>
      <c r="G549" t="s">
        <v>673</v>
      </c>
      <c r="I549" t="s">
        <v>12</v>
      </c>
      <c r="J549" t="s">
        <v>12</v>
      </c>
      <c r="K549" t="s">
        <v>12</v>
      </c>
      <c r="L549" t="s">
        <v>675</v>
      </c>
      <c r="M549" t="s">
        <v>852</v>
      </c>
      <c r="O549">
        <v>3</v>
      </c>
      <c r="GA549">
        <v>1</v>
      </c>
    </row>
    <row r="550" spans="1:198" x14ac:dyDescent="0.25">
      <c r="A550" t="s">
        <v>545</v>
      </c>
      <c r="B550" t="s">
        <v>54</v>
      </c>
      <c r="C550" s="3">
        <f t="shared" si="14"/>
        <v>44.9</v>
      </c>
      <c r="D550" s="3">
        <f t="shared" si="15"/>
        <v>110.11666666666666</v>
      </c>
      <c r="E550" t="s">
        <v>15</v>
      </c>
      <c r="F550" t="s">
        <v>20</v>
      </c>
      <c r="G550" t="s">
        <v>673</v>
      </c>
      <c r="I550" t="s">
        <v>12</v>
      </c>
      <c r="J550" t="s">
        <v>12</v>
      </c>
      <c r="K550" t="s">
        <v>12</v>
      </c>
      <c r="L550" t="s">
        <v>675</v>
      </c>
      <c r="M550" t="s">
        <v>852</v>
      </c>
      <c r="O550">
        <v>8</v>
      </c>
      <c r="GB550">
        <v>1</v>
      </c>
    </row>
    <row r="551" spans="1:198" x14ac:dyDescent="0.25">
      <c r="A551" t="s">
        <v>360</v>
      </c>
      <c r="B551" t="s">
        <v>54</v>
      </c>
      <c r="C551" s="3">
        <v>40.65</v>
      </c>
      <c r="D551" s="3">
        <v>117.1</v>
      </c>
      <c r="E551" t="s">
        <v>12</v>
      </c>
      <c r="F551" t="s">
        <v>20</v>
      </c>
      <c r="G551" t="s">
        <v>76</v>
      </c>
      <c r="I551" t="s">
        <v>15</v>
      </c>
      <c r="J551" t="s">
        <v>12</v>
      </c>
      <c r="K551" t="s">
        <v>12</v>
      </c>
      <c r="L551" t="s">
        <v>361</v>
      </c>
      <c r="M551" t="s">
        <v>1021</v>
      </c>
      <c r="O551">
        <v>87.1</v>
      </c>
      <c r="P551">
        <v>59.6</v>
      </c>
      <c r="GF551">
        <v>1</v>
      </c>
    </row>
    <row r="552" spans="1:198" x14ac:dyDescent="0.25">
      <c r="A552" t="s">
        <v>360</v>
      </c>
      <c r="B552" t="s">
        <v>54</v>
      </c>
      <c r="C552" s="3">
        <v>40.65</v>
      </c>
      <c r="D552" s="3">
        <v>117.1</v>
      </c>
      <c r="E552" t="s">
        <v>12</v>
      </c>
      <c r="F552" t="s">
        <v>20</v>
      </c>
      <c r="G552" t="s">
        <v>76</v>
      </c>
      <c r="I552" t="s">
        <v>15</v>
      </c>
      <c r="J552" t="s">
        <v>12</v>
      </c>
      <c r="K552" t="s">
        <v>12</v>
      </c>
      <c r="L552" t="s">
        <v>361</v>
      </c>
      <c r="M552" t="s">
        <v>1021</v>
      </c>
      <c r="O552">
        <v>70.599999999999994</v>
      </c>
      <c r="P552">
        <v>35.299999999999997</v>
      </c>
      <c r="GI552">
        <v>1</v>
      </c>
    </row>
    <row r="553" spans="1:198" x14ac:dyDescent="0.25">
      <c r="A553" t="s">
        <v>360</v>
      </c>
      <c r="B553" t="s">
        <v>54</v>
      </c>
      <c r="C553" s="3">
        <v>40.65</v>
      </c>
      <c r="D553" s="3">
        <v>117.1</v>
      </c>
      <c r="E553" t="s">
        <v>12</v>
      </c>
      <c r="F553" t="s">
        <v>20</v>
      </c>
      <c r="G553" t="s">
        <v>76</v>
      </c>
      <c r="I553" t="s">
        <v>15</v>
      </c>
      <c r="J553" t="s">
        <v>12</v>
      </c>
      <c r="K553" t="s">
        <v>12</v>
      </c>
      <c r="L553" t="s">
        <v>361</v>
      </c>
      <c r="M553" t="s">
        <v>1021</v>
      </c>
      <c r="O553">
        <v>73.099999999999994</v>
      </c>
      <c r="P553">
        <v>44</v>
      </c>
      <c r="GL553">
        <v>1</v>
      </c>
    </row>
    <row r="554" spans="1:198" x14ac:dyDescent="0.25">
      <c r="A554" t="s">
        <v>360</v>
      </c>
      <c r="B554" t="s">
        <v>54</v>
      </c>
      <c r="C554" s="3">
        <v>40.65</v>
      </c>
      <c r="D554" s="3">
        <v>117.1</v>
      </c>
      <c r="E554" t="s">
        <v>12</v>
      </c>
      <c r="F554" t="s">
        <v>20</v>
      </c>
      <c r="G554" t="s">
        <v>76</v>
      </c>
      <c r="I554" t="s">
        <v>15</v>
      </c>
      <c r="J554" t="s">
        <v>12</v>
      </c>
      <c r="K554" t="s">
        <v>12</v>
      </c>
      <c r="L554" t="s">
        <v>361</v>
      </c>
      <c r="M554" t="s">
        <v>1021</v>
      </c>
      <c r="O554">
        <v>56.3</v>
      </c>
      <c r="P554">
        <v>47.5</v>
      </c>
      <c r="GO554">
        <v>0.5</v>
      </c>
      <c r="GP554">
        <v>0.5</v>
      </c>
    </row>
    <row r="555" spans="1:198" x14ac:dyDescent="0.25">
      <c r="A555" t="s">
        <v>64</v>
      </c>
      <c r="B555" t="s">
        <v>54</v>
      </c>
      <c r="C555" s="3">
        <v>31.2</v>
      </c>
      <c r="D555" s="3">
        <v>121.4</v>
      </c>
      <c r="E555" t="s">
        <v>15</v>
      </c>
      <c r="F555" t="s">
        <v>77</v>
      </c>
      <c r="G555" t="s">
        <v>716</v>
      </c>
      <c r="I555" t="s">
        <v>15</v>
      </c>
      <c r="J555" t="s">
        <v>12</v>
      </c>
      <c r="K555" t="s">
        <v>12</v>
      </c>
      <c r="L555" t="s">
        <v>761</v>
      </c>
      <c r="M555" t="s">
        <v>819</v>
      </c>
      <c r="O555">
        <v>151.1</v>
      </c>
      <c r="P555">
        <v>94.5</v>
      </c>
      <c r="DI555">
        <v>1</v>
      </c>
    </row>
    <row r="556" spans="1:198" x14ac:dyDescent="0.25">
      <c r="A556" t="s">
        <v>64</v>
      </c>
      <c r="B556" t="s">
        <v>54</v>
      </c>
      <c r="C556" s="3">
        <v>31.2</v>
      </c>
      <c r="D556" s="3">
        <v>121.4</v>
      </c>
      <c r="E556" t="s">
        <v>15</v>
      </c>
      <c r="F556" t="s">
        <v>77</v>
      </c>
      <c r="G556" t="s">
        <v>716</v>
      </c>
      <c r="I556" t="s">
        <v>15</v>
      </c>
      <c r="J556" t="s">
        <v>12</v>
      </c>
      <c r="K556" t="s">
        <v>12</v>
      </c>
      <c r="L556" t="s">
        <v>761</v>
      </c>
      <c r="M556" t="s">
        <v>819</v>
      </c>
      <c r="O556">
        <v>52.2</v>
      </c>
      <c r="P556">
        <v>19.399999999999999</v>
      </c>
      <c r="DN556">
        <v>1</v>
      </c>
      <c r="DO556">
        <v>1</v>
      </c>
    </row>
    <row r="557" spans="1:198" x14ac:dyDescent="0.25">
      <c r="A557" t="s">
        <v>64</v>
      </c>
      <c r="B557" t="s">
        <v>54</v>
      </c>
      <c r="C557" s="3">
        <v>31.376999999999999</v>
      </c>
      <c r="D557" s="3">
        <v>121.264</v>
      </c>
      <c r="E557" t="s">
        <v>34</v>
      </c>
      <c r="F557" t="s">
        <v>20</v>
      </c>
      <c r="G557" t="s">
        <v>106</v>
      </c>
      <c r="H557">
        <v>50</v>
      </c>
      <c r="I557" t="s">
        <v>12</v>
      </c>
      <c r="J557" t="s">
        <v>12</v>
      </c>
      <c r="K557" t="s">
        <v>15</v>
      </c>
      <c r="L557" t="s">
        <v>137</v>
      </c>
      <c r="M557" t="s">
        <v>830</v>
      </c>
      <c r="O557">
        <v>41</v>
      </c>
      <c r="P557">
        <v>10</v>
      </c>
      <c r="DX557">
        <v>1</v>
      </c>
      <c r="DY557">
        <v>1</v>
      </c>
      <c r="DZ557">
        <v>1</v>
      </c>
      <c r="EA557">
        <v>1</v>
      </c>
      <c r="EB557">
        <v>1</v>
      </c>
      <c r="EC557">
        <v>1</v>
      </c>
      <c r="ED557">
        <v>1</v>
      </c>
      <c r="EE557">
        <v>1</v>
      </c>
      <c r="EF557">
        <v>1</v>
      </c>
      <c r="EG557">
        <v>1</v>
      </c>
      <c r="EH557">
        <v>1</v>
      </c>
      <c r="EI557">
        <v>1</v>
      </c>
      <c r="EJ557">
        <v>1</v>
      </c>
    </row>
    <row r="558" spans="1:198" x14ac:dyDescent="0.25">
      <c r="A558" t="s">
        <v>64</v>
      </c>
      <c r="B558" t="s">
        <v>54</v>
      </c>
      <c r="C558" s="3">
        <v>31.382999999999999</v>
      </c>
      <c r="D558" s="3">
        <v>121.413</v>
      </c>
      <c r="E558" t="s">
        <v>34</v>
      </c>
      <c r="F558" t="s">
        <v>22</v>
      </c>
      <c r="G558" t="s">
        <v>106</v>
      </c>
      <c r="H558">
        <v>50</v>
      </c>
      <c r="I558" t="s">
        <v>12</v>
      </c>
      <c r="J558" t="s">
        <v>12</v>
      </c>
      <c r="K558" t="s">
        <v>15</v>
      </c>
      <c r="L558" t="s">
        <v>137</v>
      </c>
      <c r="M558" t="s">
        <v>830</v>
      </c>
      <c r="O558">
        <v>84</v>
      </c>
      <c r="P558">
        <v>30</v>
      </c>
      <c r="DX558">
        <v>1</v>
      </c>
      <c r="DY558">
        <v>1</v>
      </c>
      <c r="DZ558">
        <v>1</v>
      </c>
      <c r="EA558">
        <v>1</v>
      </c>
      <c r="EB558">
        <v>1</v>
      </c>
      <c r="EC558">
        <v>1</v>
      </c>
      <c r="ED558">
        <v>1</v>
      </c>
      <c r="EE558">
        <v>1</v>
      </c>
      <c r="EF558">
        <v>1</v>
      </c>
      <c r="EG558">
        <v>1</v>
      </c>
      <c r="EH558">
        <v>1</v>
      </c>
      <c r="EI558">
        <v>1</v>
      </c>
      <c r="EJ558">
        <v>1</v>
      </c>
    </row>
    <row r="559" spans="1:198" x14ac:dyDescent="0.25">
      <c r="A559" t="s">
        <v>64</v>
      </c>
      <c r="B559" t="s">
        <v>54</v>
      </c>
      <c r="C559" s="3">
        <v>31.257000000000001</v>
      </c>
      <c r="D559" s="3">
        <v>121.381</v>
      </c>
      <c r="E559" t="s">
        <v>34</v>
      </c>
      <c r="F559" t="s">
        <v>77</v>
      </c>
      <c r="G559" t="s">
        <v>106</v>
      </c>
      <c r="H559">
        <v>50</v>
      </c>
      <c r="I559" t="s">
        <v>12</v>
      </c>
      <c r="J559" t="s">
        <v>12</v>
      </c>
      <c r="K559" t="s">
        <v>15</v>
      </c>
      <c r="L559" t="s">
        <v>137</v>
      </c>
      <c r="M559" t="s">
        <v>830</v>
      </c>
      <c r="O559">
        <v>65</v>
      </c>
      <c r="P559">
        <v>20</v>
      </c>
      <c r="DX559">
        <v>1</v>
      </c>
      <c r="DY559">
        <v>1</v>
      </c>
      <c r="DZ559">
        <v>1</v>
      </c>
      <c r="EA559">
        <v>1</v>
      </c>
      <c r="EB559">
        <v>1</v>
      </c>
      <c r="EC559">
        <v>1</v>
      </c>
      <c r="ED559">
        <v>1</v>
      </c>
      <c r="EE559">
        <v>1</v>
      </c>
      <c r="EF559">
        <v>1</v>
      </c>
      <c r="EG559">
        <v>1</v>
      </c>
      <c r="EH559">
        <v>1</v>
      </c>
      <c r="EI559">
        <v>1</v>
      </c>
      <c r="EJ559">
        <v>1</v>
      </c>
    </row>
    <row r="560" spans="1:198" x14ac:dyDescent="0.25">
      <c r="A560" t="s">
        <v>64</v>
      </c>
      <c r="B560" t="s">
        <v>54</v>
      </c>
      <c r="C560" s="3">
        <v>31.218</v>
      </c>
      <c r="D560" s="3">
        <v>121.48399999999999</v>
      </c>
      <c r="E560" t="s">
        <v>34</v>
      </c>
      <c r="F560" t="s">
        <v>77</v>
      </c>
      <c r="G560" t="s">
        <v>106</v>
      </c>
      <c r="H560">
        <v>50</v>
      </c>
      <c r="I560" t="s">
        <v>12</v>
      </c>
      <c r="J560" t="s">
        <v>12</v>
      </c>
      <c r="K560" t="s">
        <v>15</v>
      </c>
      <c r="L560" t="s">
        <v>137</v>
      </c>
      <c r="M560" t="s">
        <v>830</v>
      </c>
      <c r="O560">
        <v>55</v>
      </c>
      <c r="P560">
        <v>18</v>
      </c>
      <c r="DX560">
        <v>1</v>
      </c>
      <c r="DY560">
        <v>1</v>
      </c>
      <c r="DZ560">
        <v>1</v>
      </c>
      <c r="EA560">
        <v>1</v>
      </c>
      <c r="EB560">
        <v>1</v>
      </c>
      <c r="EC560">
        <v>1</v>
      </c>
      <c r="ED560">
        <v>1</v>
      </c>
      <c r="EE560">
        <v>1</v>
      </c>
      <c r="EF560">
        <v>1</v>
      </c>
      <c r="EG560">
        <v>1</v>
      </c>
      <c r="EH560">
        <v>1</v>
      </c>
      <c r="EI560">
        <v>1</v>
      </c>
      <c r="EJ560">
        <v>1</v>
      </c>
    </row>
    <row r="561" spans="1:168" x14ac:dyDescent="0.25">
      <c r="A561" t="s">
        <v>64</v>
      </c>
      <c r="B561" t="s">
        <v>54</v>
      </c>
      <c r="C561" s="3">
        <v>32.21</v>
      </c>
      <c r="D561" s="3">
        <v>121.47</v>
      </c>
      <c r="E561" t="s">
        <v>12</v>
      </c>
      <c r="F561" t="s">
        <v>19</v>
      </c>
      <c r="G561" t="s">
        <v>106</v>
      </c>
      <c r="H561">
        <v>40</v>
      </c>
      <c r="I561" t="s">
        <v>12</v>
      </c>
      <c r="J561" t="s">
        <v>15</v>
      </c>
      <c r="K561" t="s">
        <v>12</v>
      </c>
      <c r="L561" t="s">
        <v>665</v>
      </c>
      <c r="M561" t="s">
        <v>854</v>
      </c>
      <c r="O561">
        <v>20</v>
      </c>
      <c r="EZ561">
        <v>1</v>
      </c>
    </row>
    <row r="562" spans="1:168" x14ac:dyDescent="0.25">
      <c r="A562" t="s">
        <v>64</v>
      </c>
      <c r="B562" t="s">
        <v>54</v>
      </c>
      <c r="C562" s="3">
        <v>32.21</v>
      </c>
      <c r="D562" s="3">
        <v>121.47</v>
      </c>
      <c r="E562" t="s">
        <v>12</v>
      </c>
      <c r="F562" t="s">
        <v>19</v>
      </c>
      <c r="G562" t="s">
        <v>106</v>
      </c>
      <c r="H562">
        <v>40</v>
      </c>
      <c r="I562" t="s">
        <v>12</v>
      </c>
      <c r="J562" t="s">
        <v>15</v>
      </c>
      <c r="K562" t="s">
        <v>12</v>
      </c>
      <c r="L562" t="s">
        <v>665</v>
      </c>
      <c r="M562" t="s">
        <v>854</v>
      </c>
      <c r="O562">
        <v>25.3</v>
      </c>
      <c r="FG562">
        <v>0.5</v>
      </c>
      <c r="FH562">
        <v>1</v>
      </c>
    </row>
    <row r="563" spans="1:168" x14ac:dyDescent="0.25">
      <c r="A563" t="s">
        <v>64</v>
      </c>
      <c r="B563" t="s">
        <v>54</v>
      </c>
      <c r="C563" s="3">
        <v>32.21</v>
      </c>
      <c r="D563" s="3">
        <v>121.47</v>
      </c>
      <c r="E563" t="s">
        <v>12</v>
      </c>
      <c r="F563" t="s">
        <v>19</v>
      </c>
      <c r="G563" t="s">
        <v>106</v>
      </c>
      <c r="H563">
        <v>40</v>
      </c>
      <c r="I563" t="s">
        <v>12</v>
      </c>
      <c r="J563" t="s">
        <v>15</v>
      </c>
      <c r="K563" t="s">
        <v>12</v>
      </c>
      <c r="L563" t="s">
        <v>665</v>
      </c>
      <c r="M563" t="s">
        <v>854</v>
      </c>
      <c r="O563">
        <v>30.5</v>
      </c>
      <c r="FK563">
        <v>0.5</v>
      </c>
      <c r="FL563">
        <v>1</v>
      </c>
    </row>
    <row r="564" spans="1:168" x14ac:dyDescent="0.25">
      <c r="A564" t="s">
        <v>64</v>
      </c>
      <c r="B564" t="s">
        <v>54</v>
      </c>
      <c r="C564" s="3">
        <v>32.21</v>
      </c>
      <c r="D564" s="3">
        <v>121.47</v>
      </c>
      <c r="E564" t="s">
        <v>12</v>
      </c>
      <c r="F564" t="s">
        <v>77</v>
      </c>
      <c r="G564" t="s">
        <v>106</v>
      </c>
      <c r="H564">
        <v>40</v>
      </c>
      <c r="I564" t="s">
        <v>12</v>
      </c>
      <c r="J564" t="s">
        <v>15</v>
      </c>
      <c r="K564" t="s">
        <v>12</v>
      </c>
      <c r="L564" t="s">
        <v>665</v>
      </c>
      <c r="M564" t="s">
        <v>854</v>
      </c>
      <c r="O564">
        <v>32</v>
      </c>
      <c r="EU564">
        <v>0.25</v>
      </c>
      <c r="EV564">
        <v>1</v>
      </c>
    </row>
    <row r="565" spans="1:168" x14ac:dyDescent="0.25">
      <c r="A565" t="s">
        <v>64</v>
      </c>
      <c r="B565" t="s">
        <v>54</v>
      </c>
      <c r="C565" s="3">
        <v>31.37</v>
      </c>
      <c r="D565" s="3">
        <v>121.25</v>
      </c>
      <c r="E565" t="s">
        <v>12</v>
      </c>
      <c r="F565" t="s">
        <v>21</v>
      </c>
      <c r="G565" t="s">
        <v>76</v>
      </c>
      <c r="H565">
        <v>50</v>
      </c>
      <c r="I565" t="s">
        <v>15</v>
      </c>
      <c r="J565" t="s">
        <v>12</v>
      </c>
      <c r="K565" t="s">
        <v>12</v>
      </c>
      <c r="L565" t="s">
        <v>614</v>
      </c>
      <c r="M565" t="s">
        <v>872</v>
      </c>
      <c r="O565">
        <v>113.3</v>
      </c>
      <c r="P565">
        <v>48.7</v>
      </c>
      <c r="EP565">
        <v>1</v>
      </c>
    </row>
    <row r="566" spans="1:168" x14ac:dyDescent="0.25">
      <c r="A566" t="s">
        <v>64</v>
      </c>
      <c r="B566" t="s">
        <v>54</v>
      </c>
      <c r="C566" s="3">
        <v>31.37</v>
      </c>
      <c r="D566" s="3">
        <v>121.25</v>
      </c>
      <c r="E566" t="s">
        <v>12</v>
      </c>
      <c r="F566" t="s">
        <v>21</v>
      </c>
      <c r="G566" t="s">
        <v>76</v>
      </c>
      <c r="H566">
        <v>50</v>
      </c>
      <c r="I566" t="s">
        <v>15</v>
      </c>
      <c r="J566" t="s">
        <v>12</v>
      </c>
      <c r="K566" t="s">
        <v>12</v>
      </c>
      <c r="L566" t="s">
        <v>614</v>
      </c>
      <c r="M566" t="s">
        <v>872</v>
      </c>
      <c r="O566">
        <v>88</v>
      </c>
      <c r="P566">
        <v>41.8</v>
      </c>
      <c r="ES566">
        <v>1</v>
      </c>
    </row>
    <row r="567" spans="1:168" x14ac:dyDescent="0.25">
      <c r="A567" t="s">
        <v>64</v>
      </c>
      <c r="B567" t="s">
        <v>54</v>
      </c>
      <c r="C567" s="3">
        <v>31.37</v>
      </c>
      <c r="D567" s="3">
        <v>121.25</v>
      </c>
      <c r="E567" t="s">
        <v>12</v>
      </c>
      <c r="F567" t="s">
        <v>21</v>
      </c>
      <c r="G567" t="s">
        <v>76</v>
      </c>
      <c r="H567">
        <v>50</v>
      </c>
      <c r="I567" t="s">
        <v>15</v>
      </c>
      <c r="J567" t="s">
        <v>12</v>
      </c>
      <c r="K567" t="s">
        <v>12</v>
      </c>
      <c r="L567" t="s">
        <v>614</v>
      </c>
      <c r="M567" t="s">
        <v>872</v>
      </c>
      <c r="O567">
        <v>113.1</v>
      </c>
      <c r="P567">
        <v>36.200000000000003</v>
      </c>
      <c r="EV567">
        <v>1</v>
      </c>
    </row>
    <row r="568" spans="1:168" x14ac:dyDescent="0.25">
      <c r="A568" t="s">
        <v>64</v>
      </c>
      <c r="B568" t="s">
        <v>54</v>
      </c>
      <c r="C568" s="3">
        <v>31.37</v>
      </c>
      <c r="D568" s="3">
        <v>121.25</v>
      </c>
      <c r="E568" t="s">
        <v>12</v>
      </c>
      <c r="F568" t="s">
        <v>21</v>
      </c>
      <c r="G568" t="s">
        <v>76</v>
      </c>
      <c r="H568">
        <v>50</v>
      </c>
      <c r="I568" t="s">
        <v>15</v>
      </c>
      <c r="J568" t="s">
        <v>12</v>
      </c>
      <c r="K568" t="s">
        <v>12</v>
      </c>
      <c r="L568" t="s">
        <v>614</v>
      </c>
      <c r="M568" t="s">
        <v>872</v>
      </c>
      <c r="O568">
        <v>66.900000000000006</v>
      </c>
      <c r="P568">
        <v>24.6</v>
      </c>
      <c r="EY568">
        <v>1</v>
      </c>
    </row>
    <row r="569" spans="1:168" x14ac:dyDescent="0.25">
      <c r="A569" t="s">
        <v>64</v>
      </c>
      <c r="B569" t="s">
        <v>54</v>
      </c>
      <c r="C569" s="3">
        <v>31.29</v>
      </c>
      <c r="D569" s="3">
        <v>121.45</v>
      </c>
      <c r="E569" t="s">
        <v>12</v>
      </c>
      <c r="F569" t="s">
        <v>77</v>
      </c>
      <c r="G569" t="s">
        <v>76</v>
      </c>
      <c r="H569">
        <v>50</v>
      </c>
      <c r="I569" t="s">
        <v>15</v>
      </c>
      <c r="J569" t="s">
        <v>12</v>
      </c>
      <c r="K569" t="s">
        <v>12</v>
      </c>
      <c r="L569" t="s">
        <v>614</v>
      </c>
      <c r="M569" t="s">
        <v>872</v>
      </c>
      <c r="O569">
        <v>90.3</v>
      </c>
      <c r="P569">
        <v>54.9</v>
      </c>
      <c r="EP569">
        <v>1</v>
      </c>
    </row>
    <row r="570" spans="1:168" x14ac:dyDescent="0.25">
      <c r="A570" t="s">
        <v>64</v>
      </c>
      <c r="B570" t="s">
        <v>54</v>
      </c>
      <c r="C570" s="3">
        <v>31.29</v>
      </c>
      <c r="D570" s="3">
        <v>121.45</v>
      </c>
      <c r="E570" t="s">
        <v>12</v>
      </c>
      <c r="F570" t="s">
        <v>77</v>
      </c>
      <c r="G570" t="s">
        <v>76</v>
      </c>
      <c r="H570">
        <v>50</v>
      </c>
      <c r="I570" t="s">
        <v>15</v>
      </c>
      <c r="J570" t="s">
        <v>12</v>
      </c>
      <c r="K570" t="s">
        <v>12</v>
      </c>
      <c r="L570" t="s">
        <v>614</v>
      </c>
      <c r="M570" t="s">
        <v>872</v>
      </c>
      <c r="O570">
        <v>106.4</v>
      </c>
      <c r="P570">
        <v>93.4</v>
      </c>
      <c r="ES570">
        <v>1</v>
      </c>
    </row>
    <row r="571" spans="1:168" x14ac:dyDescent="0.25">
      <c r="A571" t="s">
        <v>64</v>
      </c>
      <c r="B571" t="s">
        <v>54</v>
      </c>
      <c r="C571" s="3">
        <v>31.29</v>
      </c>
      <c r="D571" s="3">
        <v>121.45</v>
      </c>
      <c r="E571" t="s">
        <v>12</v>
      </c>
      <c r="F571" t="s">
        <v>77</v>
      </c>
      <c r="G571" t="s">
        <v>76</v>
      </c>
      <c r="H571">
        <v>50</v>
      </c>
      <c r="I571" t="s">
        <v>15</v>
      </c>
      <c r="J571" t="s">
        <v>12</v>
      </c>
      <c r="K571" t="s">
        <v>12</v>
      </c>
      <c r="L571" t="s">
        <v>614</v>
      </c>
      <c r="M571" t="s">
        <v>872</v>
      </c>
      <c r="O571">
        <v>113.5</v>
      </c>
      <c r="P571">
        <v>65.5</v>
      </c>
      <c r="EV571">
        <v>1</v>
      </c>
    </row>
    <row r="572" spans="1:168" x14ac:dyDescent="0.25">
      <c r="A572" t="s">
        <v>64</v>
      </c>
      <c r="B572" t="s">
        <v>54</v>
      </c>
      <c r="C572" s="3">
        <v>31.29</v>
      </c>
      <c r="D572" s="3">
        <v>121.45</v>
      </c>
      <c r="E572" t="s">
        <v>12</v>
      </c>
      <c r="F572" t="s">
        <v>77</v>
      </c>
      <c r="G572" t="s">
        <v>76</v>
      </c>
      <c r="H572">
        <v>50</v>
      </c>
      <c r="I572" t="s">
        <v>15</v>
      </c>
      <c r="J572" t="s">
        <v>12</v>
      </c>
      <c r="K572" t="s">
        <v>12</v>
      </c>
      <c r="L572" t="s">
        <v>614</v>
      </c>
      <c r="M572" t="s">
        <v>872</v>
      </c>
      <c r="O572">
        <v>50.2</v>
      </c>
      <c r="P572">
        <v>23</v>
      </c>
      <c r="EY572">
        <v>1</v>
      </c>
    </row>
    <row r="573" spans="1:168" x14ac:dyDescent="0.25">
      <c r="A573" t="s">
        <v>64</v>
      </c>
      <c r="B573" t="s">
        <v>54</v>
      </c>
      <c r="C573" s="3">
        <v>31.44</v>
      </c>
      <c r="D573" s="3">
        <v>121.13</v>
      </c>
      <c r="E573" t="s">
        <v>12</v>
      </c>
      <c r="F573" t="s">
        <v>22</v>
      </c>
      <c r="G573" t="s">
        <v>60</v>
      </c>
      <c r="I573" t="s">
        <v>12</v>
      </c>
      <c r="J573" t="s">
        <v>12</v>
      </c>
      <c r="K573" t="s">
        <v>12</v>
      </c>
      <c r="L573" t="s">
        <v>611</v>
      </c>
      <c r="M573" t="s">
        <v>874</v>
      </c>
      <c r="O573">
        <v>67.3</v>
      </c>
      <c r="P573">
        <v>45.3</v>
      </c>
      <c r="EK573">
        <v>1</v>
      </c>
    </row>
    <row r="574" spans="1:168" x14ac:dyDescent="0.25">
      <c r="A574" t="s">
        <v>64</v>
      </c>
      <c r="B574" t="s">
        <v>54</v>
      </c>
      <c r="C574" s="3">
        <v>31.29</v>
      </c>
      <c r="D574" s="3">
        <v>121.5</v>
      </c>
      <c r="E574" t="s">
        <v>34</v>
      </c>
      <c r="F574" t="s">
        <v>77</v>
      </c>
      <c r="G574" t="s">
        <v>76</v>
      </c>
      <c r="H574">
        <v>40</v>
      </c>
      <c r="I574" t="s">
        <v>15</v>
      </c>
      <c r="J574" t="s">
        <v>12</v>
      </c>
      <c r="K574" t="s">
        <v>12</v>
      </c>
      <c r="L574" t="s">
        <v>908</v>
      </c>
      <c r="M574" t="s">
        <v>907</v>
      </c>
      <c r="O574">
        <v>47.3</v>
      </c>
      <c r="P574">
        <v>17.100000000000001</v>
      </c>
      <c r="EV574">
        <v>0.5</v>
      </c>
    </row>
    <row r="575" spans="1:168" x14ac:dyDescent="0.25">
      <c r="A575" t="s">
        <v>64</v>
      </c>
      <c r="B575" t="s">
        <v>54</v>
      </c>
      <c r="C575" s="3">
        <v>31.29</v>
      </c>
      <c r="D575" s="3">
        <v>121.5</v>
      </c>
      <c r="E575" t="s">
        <v>34</v>
      </c>
      <c r="F575" t="s">
        <v>77</v>
      </c>
      <c r="G575" t="s">
        <v>76</v>
      </c>
      <c r="H575">
        <v>40</v>
      </c>
      <c r="I575" t="s">
        <v>15</v>
      </c>
      <c r="J575" t="s">
        <v>12</v>
      </c>
      <c r="K575" t="s">
        <v>12</v>
      </c>
      <c r="L575" t="s">
        <v>908</v>
      </c>
      <c r="M575" t="s">
        <v>907</v>
      </c>
      <c r="O575">
        <v>15.1</v>
      </c>
      <c r="P575">
        <v>6.1</v>
      </c>
      <c r="EZ575">
        <v>1</v>
      </c>
    </row>
    <row r="576" spans="1:168" x14ac:dyDescent="0.25">
      <c r="A576" t="s">
        <v>64</v>
      </c>
      <c r="B576" t="s">
        <v>54</v>
      </c>
      <c r="C576" s="3">
        <v>31.29</v>
      </c>
      <c r="D576" s="3">
        <v>121.5</v>
      </c>
      <c r="E576" t="s">
        <v>34</v>
      </c>
      <c r="F576" t="s">
        <v>77</v>
      </c>
      <c r="G576" t="s">
        <v>76</v>
      </c>
      <c r="H576">
        <v>40</v>
      </c>
      <c r="I576" t="s">
        <v>15</v>
      </c>
      <c r="J576" t="s">
        <v>12</v>
      </c>
      <c r="K576" t="s">
        <v>12</v>
      </c>
      <c r="L576" t="s">
        <v>908</v>
      </c>
      <c r="M576" t="s">
        <v>907</v>
      </c>
      <c r="O576">
        <v>36.1</v>
      </c>
      <c r="P576">
        <v>17.100000000000001</v>
      </c>
      <c r="FB576">
        <v>0.5</v>
      </c>
    </row>
    <row r="577" spans="1:209" x14ac:dyDescent="0.25">
      <c r="A577" t="s">
        <v>64</v>
      </c>
      <c r="B577" t="s">
        <v>54</v>
      </c>
      <c r="C577" s="3">
        <v>31.29</v>
      </c>
      <c r="D577" s="3">
        <v>121.5</v>
      </c>
      <c r="E577" t="s">
        <v>34</v>
      </c>
      <c r="F577" t="s">
        <v>77</v>
      </c>
      <c r="G577" t="s">
        <v>76</v>
      </c>
      <c r="H577">
        <v>40</v>
      </c>
      <c r="I577" t="s">
        <v>15</v>
      </c>
      <c r="J577" t="s">
        <v>12</v>
      </c>
      <c r="K577" t="s">
        <v>12</v>
      </c>
      <c r="L577" t="s">
        <v>908</v>
      </c>
      <c r="M577" t="s">
        <v>907</v>
      </c>
      <c r="O577">
        <v>65.400000000000006</v>
      </c>
      <c r="P577">
        <v>16.8</v>
      </c>
      <c r="FE577">
        <v>0.5</v>
      </c>
    </row>
    <row r="578" spans="1:209" x14ac:dyDescent="0.25">
      <c r="A578" t="s">
        <v>64</v>
      </c>
      <c r="B578" t="s">
        <v>54</v>
      </c>
      <c r="C578" s="3">
        <v>31.2</v>
      </c>
      <c r="D578" s="3">
        <v>121.46</v>
      </c>
      <c r="E578" t="s">
        <v>12</v>
      </c>
      <c r="F578" t="s">
        <v>77</v>
      </c>
      <c r="G578" t="s">
        <v>97</v>
      </c>
      <c r="H578">
        <v>45</v>
      </c>
      <c r="I578" t="s">
        <v>15</v>
      </c>
      <c r="J578" t="s">
        <v>15</v>
      </c>
      <c r="K578" t="s">
        <v>12</v>
      </c>
      <c r="L578" t="s">
        <v>363</v>
      </c>
      <c r="M578" t="s">
        <v>1018</v>
      </c>
      <c r="O578">
        <v>67</v>
      </c>
      <c r="P578">
        <v>28</v>
      </c>
      <c r="EI578">
        <v>1</v>
      </c>
      <c r="EJ578">
        <v>1</v>
      </c>
      <c r="EK578">
        <v>0.5</v>
      </c>
    </row>
    <row r="579" spans="1:209" x14ac:dyDescent="0.25">
      <c r="A579" t="s">
        <v>64</v>
      </c>
      <c r="B579" t="s">
        <v>54</v>
      </c>
      <c r="C579" s="3">
        <v>31.27</v>
      </c>
      <c r="D579" s="3">
        <v>121.5</v>
      </c>
      <c r="E579" t="s">
        <v>12</v>
      </c>
      <c r="F579" t="s">
        <v>77</v>
      </c>
      <c r="G579" t="s">
        <v>106</v>
      </c>
      <c r="H579">
        <v>40</v>
      </c>
      <c r="I579" t="s">
        <v>12</v>
      </c>
      <c r="J579" t="s">
        <v>15</v>
      </c>
      <c r="K579" t="s">
        <v>15</v>
      </c>
      <c r="L579" t="s">
        <v>163</v>
      </c>
      <c r="M579" t="s">
        <v>1094</v>
      </c>
      <c r="O579">
        <v>134.77000000000001</v>
      </c>
      <c r="P579">
        <v>34.01</v>
      </c>
      <c r="DW579">
        <v>1</v>
      </c>
      <c r="DX579">
        <v>1</v>
      </c>
    </row>
    <row r="580" spans="1:209" x14ac:dyDescent="0.25">
      <c r="A580" t="s">
        <v>64</v>
      </c>
      <c r="B580" t="s">
        <v>54</v>
      </c>
      <c r="C580" s="3">
        <v>31.27</v>
      </c>
      <c r="D580" s="3">
        <v>121.5</v>
      </c>
      <c r="E580" t="s">
        <v>12</v>
      </c>
      <c r="F580" t="s">
        <v>77</v>
      </c>
      <c r="G580" t="s">
        <v>106</v>
      </c>
      <c r="H580">
        <v>40</v>
      </c>
      <c r="I580" t="s">
        <v>12</v>
      </c>
      <c r="J580" t="s">
        <v>15</v>
      </c>
      <c r="K580" t="s">
        <v>15</v>
      </c>
      <c r="L580" t="s">
        <v>163</v>
      </c>
      <c r="M580" t="s">
        <v>1094</v>
      </c>
      <c r="O580">
        <v>71.66</v>
      </c>
      <c r="P580">
        <v>28.2</v>
      </c>
      <c r="DZ580">
        <v>0.5</v>
      </c>
      <c r="EA580">
        <v>0.5</v>
      </c>
    </row>
    <row r="581" spans="1:209" x14ac:dyDescent="0.25">
      <c r="A581" t="s">
        <v>64</v>
      </c>
      <c r="B581" t="s">
        <v>54</v>
      </c>
      <c r="C581" s="3">
        <v>31.27</v>
      </c>
      <c r="D581" s="3">
        <v>121.5</v>
      </c>
      <c r="E581" t="s">
        <v>12</v>
      </c>
      <c r="F581" t="s">
        <v>77</v>
      </c>
      <c r="G581" t="s">
        <v>106</v>
      </c>
      <c r="H581">
        <v>40</v>
      </c>
      <c r="I581" t="s">
        <v>12</v>
      </c>
      <c r="J581" t="s">
        <v>15</v>
      </c>
      <c r="K581" t="s">
        <v>15</v>
      </c>
      <c r="L581" t="s">
        <v>163</v>
      </c>
      <c r="M581" t="s">
        <v>1094</v>
      </c>
      <c r="O581">
        <v>96.38</v>
      </c>
      <c r="P581">
        <v>28.54</v>
      </c>
      <c r="DQ581">
        <v>1</v>
      </c>
      <c r="DR581">
        <v>0.5</v>
      </c>
    </row>
    <row r="582" spans="1:209" x14ac:dyDescent="0.25">
      <c r="A582" t="s">
        <v>64</v>
      </c>
      <c r="B582" t="s">
        <v>54</v>
      </c>
      <c r="C582" s="3">
        <v>31.3</v>
      </c>
      <c r="D582" s="3">
        <v>121.4</v>
      </c>
      <c r="E582" t="s">
        <v>12</v>
      </c>
      <c r="F582" t="s">
        <v>77</v>
      </c>
      <c r="G582" t="s">
        <v>106</v>
      </c>
      <c r="H582">
        <v>40</v>
      </c>
      <c r="I582" t="s">
        <v>12</v>
      </c>
      <c r="J582" t="s">
        <v>15</v>
      </c>
      <c r="K582" t="s">
        <v>15</v>
      </c>
      <c r="L582" t="s">
        <v>163</v>
      </c>
      <c r="M582" t="s">
        <v>1094</v>
      </c>
      <c r="O582">
        <f>AVERAGE(76.19,89.16)</f>
        <v>82.674999999999997</v>
      </c>
      <c r="P582">
        <f>AVERAGE(59.93,40.97)</f>
        <v>50.45</v>
      </c>
      <c r="EF582">
        <v>1</v>
      </c>
    </row>
    <row r="583" spans="1:209" x14ac:dyDescent="0.25">
      <c r="A583" t="s">
        <v>64</v>
      </c>
      <c r="B583" t="s">
        <v>54</v>
      </c>
      <c r="C583" s="3">
        <v>31.247</v>
      </c>
      <c r="D583" s="3">
        <v>121.39400000000001</v>
      </c>
      <c r="E583" t="s">
        <v>34</v>
      </c>
      <c r="F583" t="s">
        <v>22</v>
      </c>
      <c r="G583" t="s">
        <v>106</v>
      </c>
      <c r="I583" t="s">
        <v>12</v>
      </c>
      <c r="J583" t="s">
        <v>12</v>
      </c>
      <c r="K583" t="s">
        <v>15</v>
      </c>
      <c r="L583" t="s">
        <v>162</v>
      </c>
      <c r="M583" t="s">
        <v>1095</v>
      </c>
      <c r="O583">
        <v>103.07</v>
      </c>
      <c r="GI583">
        <v>1</v>
      </c>
      <c r="GJ583">
        <v>1</v>
      </c>
      <c r="GK583">
        <v>1</v>
      </c>
      <c r="GL583">
        <v>1</v>
      </c>
      <c r="GM583">
        <v>1</v>
      </c>
      <c r="GN583">
        <v>1</v>
      </c>
      <c r="GO583">
        <v>1</v>
      </c>
      <c r="GP583">
        <v>1</v>
      </c>
      <c r="GQ583">
        <v>1</v>
      </c>
      <c r="GR583">
        <v>1</v>
      </c>
      <c r="GS583">
        <v>1</v>
      </c>
      <c r="GT583">
        <v>1</v>
      </c>
      <c r="GU583">
        <v>1</v>
      </c>
      <c r="GV583">
        <v>1</v>
      </c>
      <c r="GW583">
        <v>1</v>
      </c>
    </row>
    <row r="584" spans="1:209" x14ac:dyDescent="0.25">
      <c r="A584" t="s">
        <v>64</v>
      </c>
      <c r="B584" t="s">
        <v>54</v>
      </c>
      <c r="C584" s="3">
        <v>31.48</v>
      </c>
      <c r="D584" s="3">
        <v>121.32</v>
      </c>
      <c r="E584" t="s">
        <v>34</v>
      </c>
      <c r="F584" t="s">
        <v>21</v>
      </c>
      <c r="G584" t="s">
        <v>106</v>
      </c>
      <c r="I584" t="s">
        <v>12</v>
      </c>
      <c r="J584" t="s">
        <v>12</v>
      </c>
      <c r="K584" t="s">
        <v>15</v>
      </c>
      <c r="L584" t="s">
        <v>162</v>
      </c>
      <c r="M584" t="s">
        <v>1095</v>
      </c>
      <c r="O584">
        <v>62.25</v>
      </c>
      <c r="GI584">
        <v>1</v>
      </c>
      <c r="GJ584">
        <v>1</v>
      </c>
      <c r="GK584">
        <v>1</v>
      </c>
      <c r="GL584">
        <v>1</v>
      </c>
      <c r="GM584">
        <v>1</v>
      </c>
      <c r="GN584">
        <v>1</v>
      </c>
      <c r="GO584">
        <v>1</v>
      </c>
      <c r="GP584">
        <v>1</v>
      </c>
      <c r="GQ584">
        <v>1</v>
      </c>
      <c r="GR584">
        <v>1</v>
      </c>
      <c r="GS584">
        <v>1</v>
      </c>
      <c r="GT584">
        <v>1</v>
      </c>
      <c r="GU584">
        <v>1</v>
      </c>
      <c r="GV584">
        <v>1</v>
      </c>
      <c r="GW584">
        <v>1</v>
      </c>
    </row>
    <row r="585" spans="1:209" x14ac:dyDescent="0.25">
      <c r="A585" t="s">
        <v>64</v>
      </c>
      <c r="B585" t="s">
        <v>54</v>
      </c>
      <c r="C585" s="3">
        <v>31.283000000000001</v>
      </c>
      <c r="D585" s="3">
        <v>121.5</v>
      </c>
      <c r="E585" t="s">
        <v>34</v>
      </c>
      <c r="F585" t="s">
        <v>8</v>
      </c>
      <c r="G585" t="s">
        <v>106</v>
      </c>
      <c r="I585" t="s">
        <v>12</v>
      </c>
      <c r="J585" t="s">
        <v>12</v>
      </c>
      <c r="K585" t="s">
        <v>15</v>
      </c>
      <c r="L585" t="s">
        <v>119</v>
      </c>
      <c r="M585" t="s">
        <v>1115</v>
      </c>
      <c r="O585">
        <v>62.4</v>
      </c>
      <c r="BQ585">
        <v>1</v>
      </c>
      <c r="BR585">
        <v>1</v>
      </c>
      <c r="BS585">
        <v>1</v>
      </c>
      <c r="BT585">
        <v>1</v>
      </c>
      <c r="BU585">
        <v>1</v>
      </c>
      <c r="BV585">
        <v>1</v>
      </c>
      <c r="BW585">
        <v>1</v>
      </c>
      <c r="BX585">
        <v>1</v>
      </c>
      <c r="BY585">
        <v>1</v>
      </c>
      <c r="BZ585">
        <v>1</v>
      </c>
      <c r="CA585">
        <v>1</v>
      </c>
      <c r="CB585">
        <v>1</v>
      </c>
    </row>
    <row r="586" spans="1:209" x14ac:dyDescent="0.25">
      <c r="A586" t="s">
        <v>64</v>
      </c>
      <c r="B586" t="s">
        <v>54</v>
      </c>
      <c r="C586" s="3">
        <f>31+10/60</f>
        <v>31.166666666666668</v>
      </c>
      <c r="D586" s="3">
        <f>121+28/60</f>
        <v>121.46666666666667</v>
      </c>
      <c r="E586" t="s">
        <v>12</v>
      </c>
      <c r="F586" t="s">
        <v>8</v>
      </c>
      <c r="G586" t="s">
        <v>97</v>
      </c>
      <c r="I586" t="s">
        <v>15</v>
      </c>
      <c r="J586" t="s">
        <v>15</v>
      </c>
      <c r="K586" t="s">
        <v>15</v>
      </c>
      <c r="L586" t="s">
        <v>114</v>
      </c>
      <c r="M586" t="s">
        <v>1118</v>
      </c>
      <c r="O586">
        <v>61.66</v>
      </c>
      <c r="BO586">
        <v>1</v>
      </c>
      <c r="BP586">
        <v>1</v>
      </c>
      <c r="BQ586">
        <v>1</v>
      </c>
    </row>
    <row r="587" spans="1:209" x14ac:dyDescent="0.25">
      <c r="A587" t="s">
        <v>64</v>
      </c>
      <c r="B587" t="s">
        <v>54</v>
      </c>
      <c r="C587" s="3">
        <f>31+10/60</f>
        <v>31.166666666666668</v>
      </c>
      <c r="D587" s="3">
        <f>121+28/60</f>
        <v>121.46666666666667</v>
      </c>
      <c r="E587" t="s">
        <v>12</v>
      </c>
      <c r="F587" t="s">
        <v>8</v>
      </c>
      <c r="G587" t="s">
        <v>97</v>
      </c>
      <c r="I587" t="s">
        <v>15</v>
      </c>
      <c r="J587" t="s">
        <v>15</v>
      </c>
      <c r="K587" t="s">
        <v>15</v>
      </c>
      <c r="L587" t="s">
        <v>114</v>
      </c>
      <c r="M587" t="s">
        <v>1118</v>
      </c>
      <c r="O587">
        <f>AVERAGE(35.85,36.8)</f>
        <v>36.325000000000003</v>
      </c>
      <c r="BR587">
        <v>1</v>
      </c>
      <c r="BS587">
        <v>1</v>
      </c>
      <c r="BT587">
        <v>1</v>
      </c>
    </row>
    <row r="588" spans="1:209" x14ac:dyDescent="0.25">
      <c r="A588" t="s">
        <v>64</v>
      </c>
      <c r="B588" t="s">
        <v>54</v>
      </c>
      <c r="C588" s="3">
        <f>31+10/60</f>
        <v>31.166666666666668</v>
      </c>
      <c r="D588" s="3">
        <f>121+28/60</f>
        <v>121.46666666666667</v>
      </c>
      <c r="E588" t="s">
        <v>12</v>
      </c>
      <c r="F588" t="s">
        <v>8</v>
      </c>
      <c r="G588" t="s">
        <v>97</v>
      </c>
      <c r="I588" t="s">
        <v>15</v>
      </c>
      <c r="J588" t="s">
        <v>15</v>
      </c>
      <c r="K588" t="s">
        <v>15</v>
      </c>
      <c r="L588" t="s">
        <v>114</v>
      </c>
      <c r="M588" t="s">
        <v>1118</v>
      </c>
      <c r="O588">
        <f>AVERAGE(67.78,64.77)</f>
        <v>66.275000000000006</v>
      </c>
      <c r="BU588">
        <v>1</v>
      </c>
      <c r="BV588">
        <v>1</v>
      </c>
      <c r="BW588">
        <v>1</v>
      </c>
    </row>
    <row r="589" spans="1:209" x14ac:dyDescent="0.25">
      <c r="A589" t="s">
        <v>64</v>
      </c>
      <c r="B589" t="s">
        <v>54</v>
      </c>
      <c r="C589" s="3">
        <f>31+10/60</f>
        <v>31.166666666666668</v>
      </c>
      <c r="D589" s="3">
        <f>121+28/60</f>
        <v>121.46666666666667</v>
      </c>
      <c r="E589" t="s">
        <v>12</v>
      </c>
      <c r="F589" t="s">
        <v>8</v>
      </c>
      <c r="G589" t="s">
        <v>97</v>
      </c>
      <c r="I589" t="s">
        <v>15</v>
      </c>
      <c r="J589" t="s">
        <v>15</v>
      </c>
      <c r="K589" t="s">
        <v>15</v>
      </c>
      <c r="L589" t="s">
        <v>114</v>
      </c>
      <c r="M589" t="s">
        <v>1118</v>
      </c>
      <c r="O589">
        <f>AVERAGE(93.31,88.57)</f>
        <v>90.94</v>
      </c>
      <c r="BX589">
        <v>1</v>
      </c>
      <c r="BY589">
        <v>1</v>
      </c>
      <c r="BZ589">
        <v>1</v>
      </c>
    </row>
    <row r="590" spans="1:209" x14ac:dyDescent="0.25">
      <c r="A590" t="s">
        <v>64</v>
      </c>
      <c r="B590" t="s">
        <v>54</v>
      </c>
      <c r="C590" s="3">
        <f>31+27/60</f>
        <v>31.45</v>
      </c>
      <c r="D590" s="3">
        <f>121+6/60</f>
        <v>121.1</v>
      </c>
      <c r="E590" t="s">
        <v>15</v>
      </c>
      <c r="F590" t="s">
        <v>21</v>
      </c>
      <c r="G590" t="s">
        <v>60</v>
      </c>
      <c r="I590" t="s">
        <v>15</v>
      </c>
      <c r="J590" t="s">
        <v>12</v>
      </c>
      <c r="K590" t="s">
        <v>12</v>
      </c>
      <c r="L590" t="s">
        <v>65</v>
      </c>
      <c r="M590" t="s">
        <v>1137</v>
      </c>
      <c r="O590">
        <v>70.3</v>
      </c>
      <c r="EL590">
        <v>1</v>
      </c>
      <c r="EM590">
        <v>1</v>
      </c>
    </row>
    <row r="591" spans="1:209" x14ac:dyDescent="0.25">
      <c r="A591" t="s">
        <v>132</v>
      </c>
      <c r="B591" t="s">
        <v>54</v>
      </c>
      <c r="C591" s="3">
        <v>23.363299999999999</v>
      </c>
      <c r="D591" s="3">
        <v>116.72490000000001</v>
      </c>
      <c r="E591" t="s">
        <v>15</v>
      </c>
      <c r="F591" t="s">
        <v>77</v>
      </c>
      <c r="G591" t="s">
        <v>76</v>
      </c>
      <c r="H591">
        <v>52</v>
      </c>
      <c r="I591" t="s">
        <v>15</v>
      </c>
      <c r="J591" t="s">
        <v>12</v>
      </c>
      <c r="K591" t="s">
        <v>12</v>
      </c>
      <c r="L591" t="s">
        <v>400</v>
      </c>
      <c r="M591" t="s">
        <v>997</v>
      </c>
      <c r="O591">
        <v>73.7</v>
      </c>
      <c r="P591">
        <v>21</v>
      </c>
      <c r="GY591">
        <v>0.5</v>
      </c>
    </row>
    <row r="592" spans="1:209" x14ac:dyDescent="0.25">
      <c r="A592" t="s">
        <v>132</v>
      </c>
      <c r="B592" t="s">
        <v>54</v>
      </c>
      <c r="C592" s="3">
        <v>23.363299999999999</v>
      </c>
      <c r="D592" s="3">
        <v>116.72490000000001</v>
      </c>
      <c r="E592" t="s">
        <v>15</v>
      </c>
      <c r="F592" t="s">
        <v>77</v>
      </c>
      <c r="G592" t="s">
        <v>76</v>
      </c>
      <c r="H592">
        <v>52</v>
      </c>
      <c r="I592" t="s">
        <v>15</v>
      </c>
      <c r="J592" t="s">
        <v>12</v>
      </c>
      <c r="K592" t="s">
        <v>12</v>
      </c>
      <c r="L592" t="s">
        <v>400</v>
      </c>
      <c r="M592" t="s">
        <v>997</v>
      </c>
      <c r="O592">
        <v>100.2</v>
      </c>
      <c r="P592">
        <v>32.4</v>
      </c>
      <c r="HA592">
        <v>0.5</v>
      </c>
    </row>
    <row r="593" spans="1:216" x14ac:dyDescent="0.25">
      <c r="A593" t="s">
        <v>132</v>
      </c>
      <c r="B593" t="s">
        <v>54</v>
      </c>
      <c r="C593" s="3">
        <v>23.363299999999999</v>
      </c>
      <c r="D593" s="3">
        <v>116.72490000000001</v>
      </c>
      <c r="E593" t="s">
        <v>15</v>
      </c>
      <c r="F593" t="s">
        <v>77</v>
      </c>
      <c r="G593" t="s">
        <v>76</v>
      </c>
      <c r="H593">
        <v>52</v>
      </c>
      <c r="I593" t="s">
        <v>15</v>
      </c>
      <c r="J593" t="s">
        <v>12</v>
      </c>
      <c r="K593" t="s">
        <v>12</v>
      </c>
      <c r="L593" t="s">
        <v>400</v>
      </c>
      <c r="M593" t="s">
        <v>997</v>
      </c>
      <c r="O593">
        <v>81.7</v>
      </c>
      <c r="P593">
        <v>14.2</v>
      </c>
      <c r="HD593">
        <v>0.5</v>
      </c>
    </row>
    <row r="594" spans="1:216" x14ac:dyDescent="0.25">
      <c r="A594" t="s">
        <v>132</v>
      </c>
      <c r="B594" t="s">
        <v>54</v>
      </c>
      <c r="C594" s="3">
        <v>23.363299999999999</v>
      </c>
      <c r="D594" s="3">
        <v>116.72490000000001</v>
      </c>
      <c r="E594" t="s">
        <v>15</v>
      </c>
      <c r="F594" t="s">
        <v>77</v>
      </c>
      <c r="G594" t="s">
        <v>76</v>
      </c>
      <c r="H594">
        <v>52</v>
      </c>
      <c r="I594" t="s">
        <v>15</v>
      </c>
      <c r="J594" t="s">
        <v>12</v>
      </c>
      <c r="K594" t="s">
        <v>12</v>
      </c>
      <c r="L594" t="s">
        <v>400</v>
      </c>
      <c r="M594" t="s">
        <v>997</v>
      </c>
      <c r="O594">
        <v>37.799999999999997</v>
      </c>
      <c r="P594">
        <v>21</v>
      </c>
      <c r="HH594">
        <v>0.5</v>
      </c>
    </row>
    <row r="595" spans="1:216" x14ac:dyDescent="0.25">
      <c r="A595" t="s">
        <v>132</v>
      </c>
      <c r="B595" t="s">
        <v>54</v>
      </c>
      <c r="C595" s="3">
        <v>23.36</v>
      </c>
      <c r="D595" s="3">
        <v>116.71</v>
      </c>
      <c r="E595" t="s">
        <v>12</v>
      </c>
      <c r="F595" t="s">
        <v>77</v>
      </c>
      <c r="G595" t="s">
        <v>106</v>
      </c>
      <c r="H595">
        <v>50</v>
      </c>
      <c r="I595" t="s">
        <v>12</v>
      </c>
      <c r="J595" t="s">
        <v>12</v>
      </c>
      <c r="K595" t="s">
        <v>15</v>
      </c>
      <c r="L595" t="s">
        <v>133</v>
      </c>
      <c r="M595" t="s">
        <v>1111</v>
      </c>
      <c r="O595">
        <v>54.3</v>
      </c>
      <c r="P595">
        <v>9.6</v>
      </c>
      <c r="HH595">
        <v>0.5</v>
      </c>
    </row>
    <row r="596" spans="1:216" x14ac:dyDescent="0.25">
      <c r="A596" t="s">
        <v>583</v>
      </c>
      <c r="B596" t="s">
        <v>54</v>
      </c>
      <c r="C596" s="3">
        <f t="shared" ref="C596:C603" si="16">41+50/60</f>
        <v>41.833333333333336</v>
      </c>
      <c r="D596" s="3">
        <f t="shared" ref="D596:D603" si="17">123+23/60</f>
        <v>123.38333333333334</v>
      </c>
      <c r="E596" t="s">
        <v>12</v>
      </c>
      <c r="F596" t="s">
        <v>22</v>
      </c>
      <c r="G596" t="s">
        <v>97</v>
      </c>
      <c r="H596">
        <v>35</v>
      </c>
      <c r="I596" t="s">
        <v>12</v>
      </c>
      <c r="J596" t="s">
        <v>12</v>
      </c>
      <c r="K596" t="s">
        <v>15</v>
      </c>
      <c r="L596" t="s">
        <v>587</v>
      </c>
      <c r="M596" t="s">
        <v>890</v>
      </c>
      <c r="O596">
        <f>131/AVERAGE(131,82,73,81)*103</f>
        <v>147.06267029972753</v>
      </c>
      <c r="DU596">
        <v>0.5</v>
      </c>
      <c r="EG596">
        <v>0.5</v>
      </c>
    </row>
    <row r="597" spans="1:216" x14ac:dyDescent="0.25">
      <c r="A597" t="s">
        <v>583</v>
      </c>
      <c r="B597" t="s">
        <v>54</v>
      </c>
      <c r="C597" s="3">
        <f t="shared" si="16"/>
        <v>41.833333333333336</v>
      </c>
      <c r="D597" s="3">
        <f t="shared" si="17"/>
        <v>123.38333333333334</v>
      </c>
      <c r="E597" t="s">
        <v>12</v>
      </c>
      <c r="F597" t="s">
        <v>22</v>
      </c>
      <c r="G597" t="s">
        <v>97</v>
      </c>
      <c r="H597">
        <v>35</v>
      </c>
      <c r="I597" t="s">
        <v>12</v>
      </c>
      <c r="J597" t="s">
        <v>12</v>
      </c>
      <c r="K597" t="s">
        <v>15</v>
      </c>
      <c r="L597" t="s">
        <v>587</v>
      </c>
      <c r="M597" t="s">
        <v>890</v>
      </c>
      <c r="O597">
        <f>82/AVERAGE(131,82,73,81)*103</f>
        <v>92.054495912806544</v>
      </c>
      <c r="DX597">
        <v>0.5</v>
      </c>
      <c r="EJ597">
        <v>0.5</v>
      </c>
    </row>
    <row r="598" spans="1:216" x14ac:dyDescent="0.25">
      <c r="A598" t="s">
        <v>583</v>
      </c>
      <c r="B598" t="s">
        <v>54</v>
      </c>
      <c r="C598" s="3">
        <f t="shared" si="16"/>
        <v>41.833333333333336</v>
      </c>
      <c r="D598" s="3">
        <f t="shared" si="17"/>
        <v>123.38333333333334</v>
      </c>
      <c r="E598" t="s">
        <v>12</v>
      </c>
      <c r="F598" t="s">
        <v>22</v>
      </c>
      <c r="G598" t="s">
        <v>97</v>
      </c>
      <c r="H598">
        <v>35</v>
      </c>
      <c r="I598" t="s">
        <v>12</v>
      </c>
      <c r="J598" t="s">
        <v>12</v>
      </c>
      <c r="K598" t="s">
        <v>15</v>
      </c>
      <c r="L598" t="s">
        <v>587</v>
      </c>
      <c r="M598" t="s">
        <v>890</v>
      </c>
      <c r="O598">
        <f>73/AVERAGE(131,82,73,81)*103</f>
        <v>81.950953678474107</v>
      </c>
      <c r="EA598">
        <v>0.5</v>
      </c>
      <c r="EM598">
        <v>0.5</v>
      </c>
    </row>
    <row r="599" spans="1:216" x14ac:dyDescent="0.25">
      <c r="A599" t="s">
        <v>583</v>
      </c>
      <c r="B599" t="s">
        <v>54</v>
      </c>
      <c r="C599" s="3">
        <f t="shared" si="16"/>
        <v>41.833333333333336</v>
      </c>
      <c r="D599" s="3">
        <f t="shared" si="17"/>
        <v>123.38333333333334</v>
      </c>
      <c r="E599" t="s">
        <v>12</v>
      </c>
      <c r="F599" t="s">
        <v>22</v>
      </c>
      <c r="G599" t="s">
        <v>97</v>
      </c>
      <c r="H599">
        <v>35</v>
      </c>
      <c r="I599" t="s">
        <v>12</v>
      </c>
      <c r="J599" t="s">
        <v>12</v>
      </c>
      <c r="K599" t="s">
        <v>15</v>
      </c>
      <c r="L599" t="s">
        <v>587</v>
      </c>
      <c r="M599" t="s">
        <v>890</v>
      </c>
      <c r="O599">
        <f>81/AVERAGE(131,82,73,81)*103</f>
        <v>90.931880108991834</v>
      </c>
      <c r="ED599">
        <v>0.5</v>
      </c>
      <c r="EP599">
        <v>0.5</v>
      </c>
    </row>
    <row r="600" spans="1:216" x14ac:dyDescent="0.25">
      <c r="A600" t="s">
        <v>583</v>
      </c>
      <c r="B600" t="s">
        <v>54</v>
      </c>
      <c r="C600" s="3">
        <f t="shared" si="16"/>
        <v>41.833333333333336</v>
      </c>
      <c r="D600" s="3">
        <f t="shared" si="17"/>
        <v>123.38333333333334</v>
      </c>
      <c r="E600" t="s">
        <v>12</v>
      </c>
      <c r="F600" t="s">
        <v>21</v>
      </c>
      <c r="G600" t="s">
        <v>97</v>
      </c>
      <c r="H600">
        <v>35</v>
      </c>
      <c r="I600" t="s">
        <v>12</v>
      </c>
      <c r="J600" t="s">
        <v>12</v>
      </c>
      <c r="K600" t="s">
        <v>15</v>
      </c>
      <c r="L600" t="s">
        <v>587</v>
      </c>
      <c r="M600" t="s">
        <v>890</v>
      </c>
      <c r="O600">
        <f>131/AVERAGE(131,82,73,81)*81</f>
        <v>115.65122615803814</v>
      </c>
      <c r="DU600">
        <v>0.5</v>
      </c>
      <c r="EG600">
        <v>0.5</v>
      </c>
    </row>
    <row r="601" spans="1:216" x14ac:dyDescent="0.25">
      <c r="A601" t="s">
        <v>583</v>
      </c>
      <c r="B601" t="s">
        <v>54</v>
      </c>
      <c r="C601" s="3">
        <f t="shared" si="16"/>
        <v>41.833333333333336</v>
      </c>
      <c r="D601" s="3">
        <f t="shared" si="17"/>
        <v>123.38333333333334</v>
      </c>
      <c r="E601" t="s">
        <v>12</v>
      </c>
      <c r="F601" t="s">
        <v>21</v>
      </c>
      <c r="G601" t="s">
        <v>97</v>
      </c>
      <c r="H601">
        <v>35</v>
      </c>
      <c r="I601" t="s">
        <v>12</v>
      </c>
      <c r="J601" t="s">
        <v>12</v>
      </c>
      <c r="K601" t="s">
        <v>15</v>
      </c>
      <c r="L601" t="s">
        <v>587</v>
      </c>
      <c r="M601" t="s">
        <v>890</v>
      </c>
      <c r="O601">
        <f>82/AVERAGE(131,82,73,81)*81</f>
        <v>72.392370572207085</v>
      </c>
      <c r="DX601">
        <v>0.5</v>
      </c>
      <c r="EJ601">
        <v>0.5</v>
      </c>
    </row>
    <row r="602" spans="1:216" x14ac:dyDescent="0.25">
      <c r="A602" t="s">
        <v>583</v>
      </c>
      <c r="B602" t="s">
        <v>54</v>
      </c>
      <c r="C602" s="3">
        <f t="shared" si="16"/>
        <v>41.833333333333336</v>
      </c>
      <c r="D602" s="3">
        <f t="shared" si="17"/>
        <v>123.38333333333334</v>
      </c>
      <c r="E602" t="s">
        <v>12</v>
      </c>
      <c r="F602" t="s">
        <v>21</v>
      </c>
      <c r="G602" t="s">
        <v>97</v>
      </c>
      <c r="H602">
        <v>35</v>
      </c>
      <c r="I602" t="s">
        <v>12</v>
      </c>
      <c r="J602" t="s">
        <v>12</v>
      </c>
      <c r="K602" t="s">
        <v>15</v>
      </c>
      <c r="L602" t="s">
        <v>587</v>
      </c>
      <c r="M602" t="s">
        <v>890</v>
      </c>
      <c r="O602">
        <f>73/AVERAGE(131,82,73,81)*81</f>
        <v>64.446866485013629</v>
      </c>
      <c r="EA602">
        <v>0.5</v>
      </c>
      <c r="EM602">
        <v>0.5</v>
      </c>
    </row>
    <row r="603" spans="1:216" x14ac:dyDescent="0.25">
      <c r="A603" t="s">
        <v>583</v>
      </c>
      <c r="B603" t="s">
        <v>54</v>
      </c>
      <c r="C603" s="3">
        <f t="shared" si="16"/>
        <v>41.833333333333336</v>
      </c>
      <c r="D603" s="3">
        <f t="shared" si="17"/>
        <v>123.38333333333334</v>
      </c>
      <c r="E603" t="s">
        <v>12</v>
      </c>
      <c r="F603" t="s">
        <v>21</v>
      </c>
      <c r="G603" t="s">
        <v>97</v>
      </c>
      <c r="H603">
        <v>35</v>
      </c>
      <c r="I603" t="s">
        <v>12</v>
      </c>
      <c r="J603" t="s">
        <v>12</v>
      </c>
      <c r="K603" t="s">
        <v>15</v>
      </c>
      <c r="L603" t="s">
        <v>587</v>
      </c>
      <c r="M603" t="s">
        <v>890</v>
      </c>
      <c r="O603">
        <f>81/AVERAGE(131,82,73,81)*81</f>
        <v>71.509536784741144</v>
      </c>
      <c r="ED603">
        <v>0.5</v>
      </c>
      <c r="EP603">
        <v>0.5</v>
      </c>
    </row>
    <row r="604" spans="1:216" x14ac:dyDescent="0.25">
      <c r="A604" t="s">
        <v>491</v>
      </c>
      <c r="B604" t="s">
        <v>54</v>
      </c>
      <c r="C604" s="3">
        <f>22+35.6</f>
        <v>57.6</v>
      </c>
      <c r="D604" s="3">
        <f>113+58/60</f>
        <v>113.96666666666667</v>
      </c>
      <c r="E604" t="s">
        <v>15</v>
      </c>
      <c r="F604" t="s">
        <v>21</v>
      </c>
      <c r="G604" t="s">
        <v>106</v>
      </c>
      <c r="H604">
        <v>45</v>
      </c>
      <c r="I604" t="s">
        <v>12</v>
      </c>
      <c r="J604" t="s">
        <v>15</v>
      </c>
      <c r="K604" t="s">
        <v>12</v>
      </c>
      <c r="L604" t="s">
        <v>682</v>
      </c>
      <c r="M604" t="s">
        <v>847</v>
      </c>
      <c r="O604">
        <v>32.700000000000003</v>
      </c>
      <c r="P604">
        <v>19.7</v>
      </c>
      <c r="GH604">
        <v>1</v>
      </c>
      <c r="GI604">
        <v>1</v>
      </c>
      <c r="GJ604">
        <v>1</v>
      </c>
      <c r="GT604">
        <v>1</v>
      </c>
      <c r="GU604">
        <v>1</v>
      </c>
      <c r="GV604">
        <v>1</v>
      </c>
    </row>
    <row r="605" spans="1:216" x14ac:dyDescent="0.25">
      <c r="A605" t="s">
        <v>491</v>
      </c>
      <c r="B605" t="s">
        <v>54</v>
      </c>
      <c r="C605" s="3">
        <f>22+35.6</f>
        <v>57.6</v>
      </c>
      <c r="D605" s="3">
        <f>113+58/60</f>
        <v>113.96666666666667</v>
      </c>
      <c r="E605" t="s">
        <v>15</v>
      </c>
      <c r="F605" t="s">
        <v>21</v>
      </c>
      <c r="G605" t="s">
        <v>106</v>
      </c>
      <c r="H605">
        <v>45</v>
      </c>
      <c r="I605" t="s">
        <v>12</v>
      </c>
      <c r="J605" t="s">
        <v>15</v>
      </c>
      <c r="K605" t="s">
        <v>12</v>
      </c>
      <c r="L605" t="s">
        <v>682</v>
      </c>
      <c r="M605" t="s">
        <v>847</v>
      </c>
      <c r="O605">
        <v>101.6</v>
      </c>
      <c r="P605">
        <v>27.5</v>
      </c>
      <c r="GM605">
        <v>1</v>
      </c>
      <c r="GN605">
        <v>1</v>
      </c>
      <c r="GY605">
        <v>1</v>
      </c>
      <c r="GZ605">
        <v>1</v>
      </c>
    </row>
    <row r="606" spans="1:216" x14ac:dyDescent="0.25">
      <c r="A606" t="s">
        <v>491</v>
      </c>
      <c r="B606" t="s">
        <v>54</v>
      </c>
      <c r="C606" s="3">
        <v>22.54</v>
      </c>
      <c r="D606" s="3">
        <v>114.13</v>
      </c>
      <c r="E606" t="s">
        <v>12</v>
      </c>
      <c r="F606" t="s">
        <v>77</v>
      </c>
      <c r="G606" t="s">
        <v>76</v>
      </c>
      <c r="I606" t="s">
        <v>12</v>
      </c>
      <c r="J606" t="s">
        <v>15</v>
      </c>
      <c r="K606" t="s">
        <v>12</v>
      </c>
      <c r="L606" t="s">
        <v>493</v>
      </c>
      <c r="M606" t="s">
        <v>951</v>
      </c>
      <c r="O606">
        <v>60.8</v>
      </c>
      <c r="P606">
        <v>18</v>
      </c>
      <c r="CW606">
        <v>1</v>
      </c>
      <c r="CX606">
        <v>1</v>
      </c>
    </row>
    <row r="607" spans="1:216" x14ac:dyDescent="0.25">
      <c r="A607" t="s">
        <v>491</v>
      </c>
      <c r="B607" t="s">
        <v>54</v>
      </c>
      <c r="C607" s="3">
        <v>22.54</v>
      </c>
      <c r="D607" s="3">
        <v>114.13</v>
      </c>
      <c r="E607" t="s">
        <v>12</v>
      </c>
      <c r="F607" t="s">
        <v>77</v>
      </c>
      <c r="G607" t="s">
        <v>76</v>
      </c>
      <c r="I607" t="s">
        <v>12</v>
      </c>
      <c r="J607" t="s">
        <v>15</v>
      </c>
      <c r="K607" t="s">
        <v>12</v>
      </c>
      <c r="L607" t="s">
        <v>493</v>
      </c>
      <c r="M607" t="s">
        <v>951</v>
      </c>
      <c r="O607">
        <v>47.1</v>
      </c>
      <c r="P607">
        <v>16.7</v>
      </c>
      <c r="DB607">
        <v>1</v>
      </c>
      <c r="DC607">
        <v>1</v>
      </c>
    </row>
    <row r="608" spans="1:216" x14ac:dyDescent="0.25">
      <c r="A608" t="s">
        <v>81</v>
      </c>
      <c r="B608" t="s">
        <v>54</v>
      </c>
      <c r="C608" s="3">
        <v>38.03</v>
      </c>
      <c r="D608" s="3">
        <v>114.51</v>
      </c>
      <c r="E608" t="s">
        <v>12</v>
      </c>
      <c r="F608" t="s">
        <v>77</v>
      </c>
      <c r="G608" t="s">
        <v>76</v>
      </c>
      <c r="I608" t="s">
        <v>15</v>
      </c>
      <c r="J608" t="s">
        <v>12</v>
      </c>
      <c r="K608" t="s">
        <v>12</v>
      </c>
      <c r="L608" t="s">
        <v>361</v>
      </c>
      <c r="M608" t="s">
        <v>1021</v>
      </c>
      <c r="O608">
        <v>175.1</v>
      </c>
      <c r="P608">
        <v>50.4</v>
      </c>
      <c r="GF608">
        <v>1</v>
      </c>
    </row>
    <row r="609" spans="1:198" x14ac:dyDescent="0.25">
      <c r="A609" t="s">
        <v>81</v>
      </c>
      <c r="B609" t="s">
        <v>54</v>
      </c>
      <c r="C609" s="3">
        <v>38.03</v>
      </c>
      <c r="D609" s="3">
        <v>114.51</v>
      </c>
      <c r="E609" t="s">
        <v>12</v>
      </c>
      <c r="F609" t="s">
        <v>77</v>
      </c>
      <c r="G609" t="s">
        <v>76</v>
      </c>
      <c r="I609" t="s">
        <v>15</v>
      </c>
      <c r="J609" t="s">
        <v>12</v>
      </c>
      <c r="K609" t="s">
        <v>12</v>
      </c>
      <c r="L609" t="s">
        <v>361</v>
      </c>
      <c r="M609" t="s">
        <v>1021</v>
      </c>
      <c r="O609">
        <v>145.69999999999999</v>
      </c>
      <c r="P609">
        <v>48.5</v>
      </c>
      <c r="GI609">
        <v>1</v>
      </c>
    </row>
    <row r="610" spans="1:198" x14ac:dyDescent="0.25">
      <c r="A610" t="s">
        <v>81</v>
      </c>
      <c r="B610" t="s">
        <v>54</v>
      </c>
      <c r="C610" s="3">
        <v>38.03</v>
      </c>
      <c r="D610" s="3">
        <v>114.51</v>
      </c>
      <c r="E610" t="s">
        <v>12</v>
      </c>
      <c r="F610" t="s">
        <v>77</v>
      </c>
      <c r="G610" t="s">
        <v>76</v>
      </c>
      <c r="I610" t="s">
        <v>15</v>
      </c>
      <c r="J610" t="s">
        <v>12</v>
      </c>
      <c r="K610" t="s">
        <v>12</v>
      </c>
      <c r="L610" t="s">
        <v>361</v>
      </c>
      <c r="M610" t="s">
        <v>1021</v>
      </c>
      <c r="O610">
        <v>218.8</v>
      </c>
      <c r="P610">
        <v>117.4</v>
      </c>
      <c r="GL610">
        <v>1</v>
      </c>
    </row>
    <row r="611" spans="1:198" x14ac:dyDescent="0.25">
      <c r="A611" t="s">
        <v>81</v>
      </c>
      <c r="B611" t="s">
        <v>54</v>
      </c>
      <c r="C611" s="3">
        <v>38.03</v>
      </c>
      <c r="D611" s="3">
        <v>114.51</v>
      </c>
      <c r="E611" t="s">
        <v>12</v>
      </c>
      <c r="F611" t="s">
        <v>77</v>
      </c>
      <c r="G611" t="s">
        <v>76</v>
      </c>
      <c r="I611" t="s">
        <v>15</v>
      </c>
      <c r="J611" t="s">
        <v>12</v>
      </c>
      <c r="K611" t="s">
        <v>12</v>
      </c>
      <c r="L611" t="s">
        <v>361</v>
      </c>
      <c r="M611" t="s">
        <v>1021</v>
      </c>
      <c r="O611">
        <v>227.2</v>
      </c>
      <c r="P611">
        <v>148.69999999999999</v>
      </c>
      <c r="GO611">
        <v>0.5</v>
      </c>
      <c r="GP611">
        <v>0.5</v>
      </c>
    </row>
    <row r="612" spans="1:198" x14ac:dyDescent="0.25">
      <c r="A612" t="s">
        <v>81</v>
      </c>
      <c r="B612" t="s">
        <v>54</v>
      </c>
      <c r="C612" s="3">
        <v>38.04</v>
      </c>
      <c r="D612" s="3">
        <v>114.5</v>
      </c>
      <c r="E612" t="s">
        <v>12</v>
      </c>
      <c r="F612" t="s">
        <v>77</v>
      </c>
      <c r="G612" t="s">
        <v>76</v>
      </c>
      <c r="I612" t="s">
        <v>15</v>
      </c>
      <c r="J612" t="s">
        <v>15</v>
      </c>
      <c r="K612" t="s">
        <v>15</v>
      </c>
      <c r="L612" t="s">
        <v>84</v>
      </c>
      <c r="M612" t="s">
        <v>1133</v>
      </c>
      <c r="O612">
        <v>191.19</v>
      </c>
      <c r="P612">
        <v>104.29</v>
      </c>
      <c r="GF612">
        <v>1</v>
      </c>
      <c r="GI612">
        <v>1</v>
      </c>
      <c r="GL612">
        <v>1</v>
      </c>
      <c r="GO612">
        <v>1</v>
      </c>
    </row>
    <row r="613" spans="1:198" x14ac:dyDescent="0.25">
      <c r="A613" t="s">
        <v>58</v>
      </c>
      <c r="B613" t="s">
        <v>54</v>
      </c>
      <c r="C613" s="3">
        <v>31.46</v>
      </c>
      <c r="D613" s="3">
        <v>120.27</v>
      </c>
      <c r="E613" t="s">
        <v>12</v>
      </c>
      <c r="F613" t="s">
        <v>20</v>
      </c>
      <c r="G613" t="s">
        <v>59</v>
      </c>
      <c r="I613" t="s">
        <v>12</v>
      </c>
      <c r="J613" t="s">
        <v>12</v>
      </c>
      <c r="K613" t="s">
        <v>15</v>
      </c>
      <c r="L613" t="s">
        <v>1139</v>
      </c>
      <c r="M613" t="s">
        <v>1138</v>
      </c>
      <c r="O613">
        <v>109.4</v>
      </c>
      <c r="P613">
        <v>53.67</v>
      </c>
      <c r="DC613">
        <v>0.5</v>
      </c>
      <c r="DD613">
        <v>1</v>
      </c>
      <c r="DE613">
        <v>0.5</v>
      </c>
    </row>
    <row r="614" spans="1:198" x14ac:dyDescent="0.25">
      <c r="A614" t="s">
        <v>58</v>
      </c>
      <c r="B614" t="s">
        <v>54</v>
      </c>
      <c r="C614" s="3">
        <v>31.46</v>
      </c>
      <c r="D614" s="3">
        <v>120.27</v>
      </c>
      <c r="E614" t="s">
        <v>12</v>
      </c>
      <c r="F614" t="s">
        <v>20</v>
      </c>
      <c r="G614" t="s">
        <v>59</v>
      </c>
      <c r="I614" t="s">
        <v>12</v>
      </c>
      <c r="J614" t="s">
        <v>12</v>
      </c>
      <c r="K614" t="s">
        <v>15</v>
      </c>
      <c r="L614" t="s">
        <v>1139</v>
      </c>
      <c r="M614" t="s">
        <v>1138</v>
      </c>
      <c r="O614">
        <v>66.75</v>
      </c>
      <c r="P614">
        <v>13.09</v>
      </c>
      <c r="DE614">
        <v>0.5</v>
      </c>
      <c r="DF614">
        <v>1</v>
      </c>
      <c r="DG614">
        <v>0.5</v>
      </c>
    </row>
    <row r="615" spans="1:198" x14ac:dyDescent="0.25">
      <c r="A615" t="s">
        <v>58</v>
      </c>
      <c r="B615" t="s">
        <v>54</v>
      </c>
      <c r="C615" s="3">
        <v>31.46</v>
      </c>
      <c r="D615" s="3">
        <v>120.27</v>
      </c>
      <c r="E615" t="s">
        <v>12</v>
      </c>
      <c r="F615" t="s">
        <v>20</v>
      </c>
      <c r="G615" t="s">
        <v>59</v>
      </c>
      <c r="I615" t="s">
        <v>12</v>
      </c>
      <c r="J615" t="s">
        <v>12</v>
      </c>
      <c r="K615" t="s">
        <v>15</v>
      </c>
      <c r="L615" t="s">
        <v>1139</v>
      </c>
      <c r="M615" t="s">
        <v>1138</v>
      </c>
      <c r="O615">
        <v>151.68</v>
      </c>
      <c r="P615">
        <v>69.42</v>
      </c>
      <c r="DG615">
        <v>0.5</v>
      </c>
      <c r="DH615">
        <v>1</v>
      </c>
      <c r="DI615">
        <v>0.5</v>
      </c>
    </row>
    <row r="616" spans="1:198" x14ac:dyDescent="0.25">
      <c r="A616" t="s">
        <v>435</v>
      </c>
      <c r="B616" t="s">
        <v>54</v>
      </c>
      <c r="C616" s="3">
        <v>37.869999999999997</v>
      </c>
      <c r="D616" s="3">
        <v>112.55</v>
      </c>
      <c r="E616" t="s">
        <v>12</v>
      </c>
      <c r="F616" t="s">
        <v>77</v>
      </c>
      <c r="G616" t="s">
        <v>60</v>
      </c>
      <c r="I616" t="s">
        <v>15</v>
      </c>
      <c r="J616" t="s">
        <v>12</v>
      </c>
      <c r="K616" t="s">
        <v>12</v>
      </c>
      <c r="L616" t="s">
        <v>436</v>
      </c>
      <c r="M616" t="s">
        <v>985</v>
      </c>
      <c r="O616">
        <v>216.7</v>
      </c>
      <c r="P616">
        <v>96.5</v>
      </c>
      <c r="ER616">
        <v>1</v>
      </c>
    </row>
    <row r="617" spans="1:198" x14ac:dyDescent="0.25">
      <c r="A617" t="s">
        <v>435</v>
      </c>
      <c r="B617" t="s">
        <v>54</v>
      </c>
      <c r="C617" s="3">
        <v>37.869999999999997</v>
      </c>
      <c r="D617" s="3">
        <v>112.55</v>
      </c>
      <c r="E617" t="s">
        <v>12</v>
      </c>
      <c r="F617" t="s">
        <v>77</v>
      </c>
      <c r="G617" t="s">
        <v>60</v>
      </c>
      <c r="I617" t="s">
        <v>15</v>
      </c>
      <c r="J617" t="s">
        <v>12</v>
      </c>
      <c r="K617" t="s">
        <v>12</v>
      </c>
      <c r="L617" t="s">
        <v>436</v>
      </c>
      <c r="M617" t="s">
        <v>985</v>
      </c>
      <c r="O617">
        <v>194.5</v>
      </c>
      <c r="P617">
        <v>103.2</v>
      </c>
      <c r="ES617">
        <v>1</v>
      </c>
    </row>
    <row r="618" spans="1:198" x14ac:dyDescent="0.25">
      <c r="A618" t="s">
        <v>435</v>
      </c>
      <c r="B618" t="s">
        <v>54</v>
      </c>
      <c r="C618" s="3">
        <v>37.869999999999997</v>
      </c>
      <c r="D618" s="3">
        <v>112.55</v>
      </c>
      <c r="E618" t="s">
        <v>12</v>
      </c>
      <c r="F618" t="s">
        <v>77</v>
      </c>
      <c r="G618" t="s">
        <v>60</v>
      </c>
      <c r="I618" t="s">
        <v>15</v>
      </c>
      <c r="J618" t="s">
        <v>12</v>
      </c>
      <c r="K618" t="s">
        <v>12</v>
      </c>
      <c r="L618" t="s">
        <v>436</v>
      </c>
      <c r="M618" t="s">
        <v>985</v>
      </c>
      <c r="O618">
        <v>82.4</v>
      </c>
      <c r="P618">
        <v>54.8</v>
      </c>
      <c r="ET618">
        <v>1</v>
      </c>
    </row>
    <row r="619" spans="1:198" x14ac:dyDescent="0.25">
      <c r="A619" t="s">
        <v>305</v>
      </c>
      <c r="B619" t="s">
        <v>54</v>
      </c>
      <c r="C619" s="3">
        <v>25.01</v>
      </c>
      <c r="D619" s="3">
        <v>98.3</v>
      </c>
      <c r="E619" t="s">
        <v>15</v>
      </c>
      <c r="F619" t="s">
        <v>20</v>
      </c>
      <c r="G619" t="s">
        <v>341</v>
      </c>
      <c r="I619" t="s">
        <v>15</v>
      </c>
      <c r="J619" t="s">
        <v>15</v>
      </c>
      <c r="K619" t="s">
        <v>15</v>
      </c>
      <c r="L619" t="s">
        <v>626</v>
      </c>
      <c r="M619" t="s">
        <v>867</v>
      </c>
      <c r="O619">
        <v>30</v>
      </c>
      <c r="P619">
        <v>24</v>
      </c>
      <c r="DX619">
        <v>1</v>
      </c>
      <c r="DY619">
        <v>1</v>
      </c>
    </row>
    <row r="620" spans="1:198" x14ac:dyDescent="0.25">
      <c r="A620" t="s">
        <v>305</v>
      </c>
      <c r="B620" t="s">
        <v>54</v>
      </c>
      <c r="C620" s="3">
        <v>25.01</v>
      </c>
      <c r="D620" s="3">
        <v>98.3</v>
      </c>
      <c r="E620" t="s">
        <v>15</v>
      </c>
      <c r="F620" t="s">
        <v>20</v>
      </c>
      <c r="G620" t="s">
        <v>76</v>
      </c>
      <c r="H620">
        <v>40</v>
      </c>
      <c r="I620" t="s">
        <v>15</v>
      </c>
      <c r="J620" t="s">
        <v>12</v>
      </c>
      <c r="K620" t="s">
        <v>12</v>
      </c>
      <c r="L620" t="s">
        <v>306</v>
      </c>
      <c r="M620" t="s">
        <v>1040</v>
      </c>
      <c r="O620">
        <v>19</v>
      </c>
      <c r="DX620">
        <v>1</v>
      </c>
      <c r="DY620">
        <v>1</v>
      </c>
    </row>
    <row r="621" spans="1:198" x14ac:dyDescent="0.25">
      <c r="A621" t="s">
        <v>305</v>
      </c>
      <c r="B621" t="s">
        <v>54</v>
      </c>
      <c r="C621" s="3">
        <v>25</v>
      </c>
      <c r="D621" s="3">
        <v>98.5</v>
      </c>
      <c r="E621" t="s">
        <v>15</v>
      </c>
      <c r="F621" t="s">
        <v>77</v>
      </c>
      <c r="G621" t="s">
        <v>76</v>
      </c>
      <c r="H621">
        <v>40</v>
      </c>
      <c r="I621" t="s">
        <v>15</v>
      </c>
      <c r="J621" t="s">
        <v>12</v>
      </c>
      <c r="K621" t="s">
        <v>12</v>
      </c>
      <c r="L621" t="s">
        <v>306</v>
      </c>
      <c r="M621" t="s">
        <v>1040</v>
      </c>
      <c r="O621">
        <v>64.5</v>
      </c>
      <c r="DX621">
        <v>1</v>
      </c>
      <c r="DY621">
        <v>1</v>
      </c>
    </row>
    <row r="622" spans="1:198" x14ac:dyDescent="0.25">
      <c r="A622" t="s">
        <v>597</v>
      </c>
      <c r="B622" t="s">
        <v>54</v>
      </c>
      <c r="C622" s="3">
        <v>39.06</v>
      </c>
      <c r="D622" s="3">
        <v>117.2</v>
      </c>
      <c r="E622" t="s">
        <v>12</v>
      </c>
      <c r="F622" t="s">
        <v>77</v>
      </c>
      <c r="G622" t="s">
        <v>106</v>
      </c>
      <c r="H622">
        <v>40</v>
      </c>
      <c r="I622" t="s">
        <v>15</v>
      </c>
      <c r="J622" t="s">
        <v>15</v>
      </c>
      <c r="K622" t="s">
        <v>15</v>
      </c>
      <c r="L622" t="s">
        <v>596</v>
      </c>
      <c r="M622" t="s">
        <v>881</v>
      </c>
      <c r="O622">
        <v>144.6</v>
      </c>
      <c r="FQ622">
        <v>1</v>
      </c>
    </row>
    <row r="623" spans="1:198" x14ac:dyDescent="0.25">
      <c r="A623" t="s">
        <v>80</v>
      </c>
      <c r="B623" t="s">
        <v>54</v>
      </c>
      <c r="C623" s="3">
        <v>39.1</v>
      </c>
      <c r="D623" s="3">
        <v>117.2</v>
      </c>
      <c r="E623" t="s">
        <v>15</v>
      </c>
      <c r="F623" t="s">
        <v>77</v>
      </c>
      <c r="G623" t="s">
        <v>716</v>
      </c>
      <c r="I623" t="s">
        <v>15</v>
      </c>
      <c r="J623" t="s">
        <v>12</v>
      </c>
      <c r="K623" t="s">
        <v>12</v>
      </c>
      <c r="L623" t="s">
        <v>761</v>
      </c>
      <c r="M623" t="s">
        <v>819</v>
      </c>
      <c r="O623">
        <v>179.4</v>
      </c>
      <c r="P623">
        <v>87.8</v>
      </c>
      <c r="DI623">
        <v>1</v>
      </c>
    </row>
    <row r="624" spans="1:198" x14ac:dyDescent="0.25">
      <c r="A624" t="s">
        <v>80</v>
      </c>
      <c r="B624" t="s">
        <v>54</v>
      </c>
      <c r="C624" s="3">
        <v>39.1</v>
      </c>
      <c r="D624" s="3">
        <v>117.2</v>
      </c>
      <c r="E624" t="s">
        <v>15</v>
      </c>
      <c r="F624" t="s">
        <v>77</v>
      </c>
      <c r="G624" t="s">
        <v>716</v>
      </c>
      <c r="I624" t="s">
        <v>15</v>
      </c>
      <c r="J624" t="s">
        <v>12</v>
      </c>
      <c r="K624" t="s">
        <v>12</v>
      </c>
      <c r="L624" t="s">
        <v>761</v>
      </c>
      <c r="M624" t="s">
        <v>819</v>
      </c>
      <c r="O624">
        <v>103.2</v>
      </c>
      <c r="P624">
        <v>27.9</v>
      </c>
      <c r="DN624">
        <v>1</v>
      </c>
      <c r="DO624">
        <v>1</v>
      </c>
    </row>
    <row r="625" spans="1:198" x14ac:dyDescent="0.25">
      <c r="A625" t="s">
        <v>80</v>
      </c>
      <c r="B625" t="s">
        <v>54</v>
      </c>
      <c r="C625" s="3">
        <v>39.06</v>
      </c>
      <c r="D625" s="3">
        <v>117.2</v>
      </c>
      <c r="E625" t="s">
        <v>12</v>
      </c>
      <c r="F625" t="s">
        <v>77</v>
      </c>
      <c r="G625" t="s">
        <v>76</v>
      </c>
      <c r="I625" t="s">
        <v>15</v>
      </c>
      <c r="J625" t="s">
        <v>12</v>
      </c>
      <c r="K625" t="s">
        <v>12</v>
      </c>
      <c r="L625" t="s">
        <v>599</v>
      </c>
      <c r="M625" t="s">
        <v>880</v>
      </c>
      <c r="O625">
        <v>107.5</v>
      </c>
      <c r="FT625">
        <v>1</v>
      </c>
    </row>
    <row r="626" spans="1:198" x14ac:dyDescent="0.25">
      <c r="A626" t="s">
        <v>80</v>
      </c>
      <c r="B626" t="s">
        <v>54</v>
      </c>
      <c r="C626" s="3">
        <v>39.06</v>
      </c>
      <c r="D626" s="3">
        <v>117.2</v>
      </c>
      <c r="E626" t="s">
        <v>12</v>
      </c>
      <c r="F626" t="s">
        <v>77</v>
      </c>
      <c r="G626" t="s">
        <v>76</v>
      </c>
      <c r="I626" t="s">
        <v>15</v>
      </c>
      <c r="J626" t="s">
        <v>12</v>
      </c>
      <c r="K626" t="s">
        <v>12</v>
      </c>
      <c r="L626" t="s">
        <v>599</v>
      </c>
      <c r="M626" t="s">
        <v>880</v>
      </c>
      <c r="O626">
        <v>87</v>
      </c>
      <c r="FW626">
        <v>1</v>
      </c>
    </row>
    <row r="627" spans="1:198" x14ac:dyDescent="0.25">
      <c r="A627" t="s">
        <v>80</v>
      </c>
      <c r="B627" t="s">
        <v>54</v>
      </c>
      <c r="C627" s="3">
        <v>39.06</v>
      </c>
      <c r="D627" s="3">
        <v>117.2</v>
      </c>
      <c r="E627" t="s">
        <v>12</v>
      </c>
      <c r="F627" t="s">
        <v>77</v>
      </c>
      <c r="G627" t="s">
        <v>76</v>
      </c>
      <c r="I627" t="s">
        <v>15</v>
      </c>
      <c r="J627" t="s">
        <v>12</v>
      </c>
      <c r="K627" t="s">
        <v>12</v>
      </c>
      <c r="L627" t="s">
        <v>599</v>
      </c>
      <c r="M627" t="s">
        <v>880</v>
      </c>
      <c r="O627">
        <v>111</v>
      </c>
      <c r="FZ627">
        <v>1</v>
      </c>
    </row>
    <row r="628" spans="1:198" x14ac:dyDescent="0.25">
      <c r="A628" t="s">
        <v>80</v>
      </c>
      <c r="B628" t="s">
        <v>54</v>
      </c>
      <c r="C628" s="3">
        <v>39.06</v>
      </c>
      <c r="D628" s="3">
        <v>117.2</v>
      </c>
      <c r="E628" t="s">
        <v>12</v>
      </c>
      <c r="F628" t="s">
        <v>77</v>
      </c>
      <c r="G628" t="s">
        <v>76</v>
      </c>
      <c r="I628" t="s">
        <v>15</v>
      </c>
      <c r="J628" t="s">
        <v>12</v>
      </c>
      <c r="K628" t="s">
        <v>12</v>
      </c>
      <c r="L628" t="s">
        <v>599</v>
      </c>
      <c r="M628" t="s">
        <v>880</v>
      </c>
      <c r="O628">
        <v>133.69999999999999</v>
      </c>
      <c r="FQ628">
        <v>1</v>
      </c>
    </row>
    <row r="629" spans="1:198" x14ac:dyDescent="0.25">
      <c r="A629" t="s">
        <v>80</v>
      </c>
      <c r="B629" t="s">
        <v>54</v>
      </c>
      <c r="C629" s="3">
        <v>39.11</v>
      </c>
      <c r="D629" s="3">
        <v>117.2</v>
      </c>
      <c r="E629" t="s">
        <v>12</v>
      </c>
      <c r="F629" t="s">
        <v>20</v>
      </c>
      <c r="G629" t="s">
        <v>76</v>
      </c>
      <c r="I629" t="s">
        <v>15</v>
      </c>
      <c r="J629" t="s">
        <v>15</v>
      </c>
      <c r="K629" t="s">
        <v>15</v>
      </c>
      <c r="L629" t="s">
        <v>476</v>
      </c>
      <c r="M629" t="s">
        <v>963</v>
      </c>
      <c r="O629">
        <v>215.6</v>
      </c>
      <c r="P629">
        <v>193.9</v>
      </c>
      <c r="FE629">
        <v>1</v>
      </c>
    </row>
    <row r="630" spans="1:198" x14ac:dyDescent="0.25">
      <c r="A630" t="s">
        <v>80</v>
      </c>
      <c r="B630" t="s">
        <v>54</v>
      </c>
      <c r="C630" s="3">
        <v>39.11</v>
      </c>
      <c r="D630" s="3">
        <v>117.2</v>
      </c>
      <c r="E630" t="s">
        <v>12</v>
      </c>
      <c r="F630" t="s">
        <v>22</v>
      </c>
      <c r="G630" t="s">
        <v>76</v>
      </c>
      <c r="I630" t="s">
        <v>15</v>
      </c>
      <c r="J630" t="s">
        <v>15</v>
      </c>
      <c r="K630" t="s">
        <v>15</v>
      </c>
      <c r="L630" t="s">
        <v>476</v>
      </c>
      <c r="M630" t="s">
        <v>963</v>
      </c>
      <c r="O630">
        <v>248.2</v>
      </c>
      <c r="P630">
        <v>170.8</v>
      </c>
      <c r="FE630">
        <v>1</v>
      </c>
    </row>
    <row r="631" spans="1:198" x14ac:dyDescent="0.25">
      <c r="A631" t="s">
        <v>80</v>
      </c>
      <c r="B631" t="s">
        <v>54</v>
      </c>
      <c r="C631" s="3">
        <v>39.11</v>
      </c>
      <c r="D631" s="3">
        <v>117.2</v>
      </c>
      <c r="E631" t="s">
        <v>12</v>
      </c>
      <c r="F631" t="s">
        <v>77</v>
      </c>
      <c r="G631" t="s">
        <v>76</v>
      </c>
      <c r="I631" t="s">
        <v>15</v>
      </c>
      <c r="J631" t="s">
        <v>15</v>
      </c>
      <c r="K631" t="s">
        <v>15</v>
      </c>
      <c r="L631" t="s">
        <v>476</v>
      </c>
      <c r="M631" t="s">
        <v>963</v>
      </c>
      <c r="O631">
        <v>206.6</v>
      </c>
      <c r="P631">
        <v>143.4</v>
      </c>
      <c r="FE631">
        <v>1</v>
      </c>
    </row>
    <row r="632" spans="1:198" x14ac:dyDescent="0.25">
      <c r="A632" t="s">
        <v>80</v>
      </c>
      <c r="B632" t="s">
        <v>54</v>
      </c>
      <c r="C632" s="3">
        <f>39+4/60+3.37/3600</f>
        <v>39.067602777777779</v>
      </c>
      <c r="D632" s="3">
        <f>117+21/60+41.86/3600</f>
        <v>117.36162777777777</v>
      </c>
      <c r="E632" t="s">
        <v>15</v>
      </c>
      <c r="F632" t="s">
        <v>21</v>
      </c>
      <c r="G632" t="s">
        <v>106</v>
      </c>
      <c r="H632">
        <v>40</v>
      </c>
      <c r="I632" t="s">
        <v>15</v>
      </c>
      <c r="J632" t="s">
        <v>12</v>
      </c>
      <c r="K632" t="s">
        <v>12</v>
      </c>
      <c r="L632" t="s">
        <v>475</v>
      </c>
      <c r="M632" t="s">
        <v>964</v>
      </c>
      <c r="O632">
        <v>129</v>
      </c>
      <c r="P632">
        <v>74</v>
      </c>
      <c r="GK632">
        <v>1</v>
      </c>
      <c r="GL632">
        <v>1</v>
      </c>
      <c r="GM632">
        <v>1</v>
      </c>
      <c r="GN632">
        <v>1</v>
      </c>
      <c r="GO632">
        <v>1</v>
      </c>
      <c r="GP632">
        <v>1</v>
      </c>
    </row>
    <row r="633" spans="1:198" x14ac:dyDescent="0.25">
      <c r="A633" t="s">
        <v>80</v>
      </c>
      <c r="B633" t="s">
        <v>54</v>
      </c>
      <c r="C633" s="3">
        <f>39+5/60+48.91/3600</f>
        <v>39.096919444444445</v>
      </c>
      <c r="D633" s="3">
        <f>117+9/60+4.71/3600</f>
        <v>117.15130833333333</v>
      </c>
      <c r="E633" t="s">
        <v>15</v>
      </c>
      <c r="F633" t="s">
        <v>77</v>
      </c>
      <c r="G633" t="s">
        <v>106</v>
      </c>
      <c r="H633">
        <v>40</v>
      </c>
      <c r="I633" t="s">
        <v>15</v>
      </c>
      <c r="J633" t="s">
        <v>12</v>
      </c>
      <c r="K633" t="s">
        <v>12</v>
      </c>
      <c r="L633" t="s">
        <v>475</v>
      </c>
      <c r="M633" t="s">
        <v>964</v>
      </c>
      <c r="O633">
        <v>144</v>
      </c>
      <c r="P633">
        <v>119</v>
      </c>
      <c r="GK633">
        <v>1</v>
      </c>
      <c r="GL633">
        <v>1</v>
      </c>
      <c r="GM633">
        <v>1</v>
      </c>
      <c r="GN633">
        <v>1</v>
      </c>
      <c r="GO633">
        <v>1</v>
      </c>
      <c r="GP633">
        <v>1</v>
      </c>
    </row>
    <row r="634" spans="1:198" x14ac:dyDescent="0.25">
      <c r="A634" t="s">
        <v>80</v>
      </c>
      <c r="B634" t="s">
        <v>54</v>
      </c>
      <c r="C634" s="3">
        <f>39+4/60+29.4/3600</f>
        <v>39.074833333333338</v>
      </c>
      <c r="D634" s="3">
        <f>117+12/60+20.62/3600</f>
        <v>117.20572777777778</v>
      </c>
      <c r="E634" t="s">
        <v>15</v>
      </c>
      <c r="F634" t="s">
        <v>77</v>
      </c>
      <c r="G634" t="s">
        <v>106</v>
      </c>
      <c r="H634">
        <v>40</v>
      </c>
      <c r="I634" t="s">
        <v>15</v>
      </c>
      <c r="J634" t="s">
        <v>12</v>
      </c>
      <c r="K634" t="s">
        <v>12</v>
      </c>
      <c r="L634" t="s">
        <v>475</v>
      </c>
      <c r="M634" t="s">
        <v>964</v>
      </c>
      <c r="O634">
        <v>117</v>
      </c>
      <c r="P634">
        <v>73</v>
      </c>
      <c r="GK634">
        <v>1</v>
      </c>
      <c r="GL634">
        <v>1</v>
      </c>
      <c r="GM634">
        <v>1</v>
      </c>
      <c r="GN634">
        <v>1</v>
      </c>
      <c r="GO634">
        <v>1</v>
      </c>
      <c r="GP634">
        <v>1</v>
      </c>
    </row>
    <row r="635" spans="1:198" x14ac:dyDescent="0.25">
      <c r="A635" t="s">
        <v>80</v>
      </c>
      <c r="B635" t="s">
        <v>54</v>
      </c>
      <c r="C635" s="3">
        <v>39.130000000000003</v>
      </c>
      <c r="D635" s="3">
        <v>117.18</v>
      </c>
      <c r="E635" t="s">
        <v>12</v>
      </c>
      <c r="F635" t="s">
        <v>20</v>
      </c>
      <c r="G635" t="s">
        <v>106</v>
      </c>
      <c r="I635" t="s">
        <v>15</v>
      </c>
      <c r="J635" t="s">
        <v>12</v>
      </c>
      <c r="K635" t="s">
        <v>12</v>
      </c>
      <c r="L635" t="s">
        <v>455</v>
      </c>
      <c r="M635" t="s">
        <v>966</v>
      </c>
      <c r="O635">
        <f>AVERAGE(36.7/0.18,6.9/0.05)</f>
        <v>170.94444444444446</v>
      </c>
      <c r="FE635">
        <v>1</v>
      </c>
    </row>
    <row r="636" spans="1:198" x14ac:dyDescent="0.25">
      <c r="A636" t="s">
        <v>80</v>
      </c>
      <c r="B636" t="s">
        <v>54</v>
      </c>
      <c r="C636" s="3">
        <v>39.130000000000003</v>
      </c>
      <c r="D636" s="3">
        <v>117.18</v>
      </c>
      <c r="E636" t="s">
        <v>12</v>
      </c>
      <c r="F636" t="s">
        <v>20</v>
      </c>
      <c r="G636" t="s">
        <v>106</v>
      </c>
      <c r="I636" t="s">
        <v>15</v>
      </c>
      <c r="J636" t="s">
        <v>12</v>
      </c>
      <c r="K636" t="s">
        <v>12</v>
      </c>
      <c r="L636" t="s">
        <v>455</v>
      </c>
      <c r="M636" t="s">
        <v>966</v>
      </c>
      <c r="O636">
        <f>AVERAGE(14.7/0.179,6/0.062)</f>
        <v>89.448549288160024</v>
      </c>
      <c r="FH636">
        <v>1</v>
      </c>
    </row>
    <row r="637" spans="1:198" x14ac:dyDescent="0.25">
      <c r="A637" t="s">
        <v>80</v>
      </c>
      <c r="B637" t="s">
        <v>54</v>
      </c>
      <c r="C637" s="3">
        <v>39.130000000000003</v>
      </c>
      <c r="D637" s="3">
        <v>117.18</v>
      </c>
      <c r="E637" t="s">
        <v>12</v>
      </c>
      <c r="F637" t="s">
        <v>20</v>
      </c>
      <c r="G637" t="s">
        <v>106</v>
      </c>
      <c r="I637" t="s">
        <v>15</v>
      </c>
      <c r="J637" t="s">
        <v>12</v>
      </c>
      <c r="K637" t="s">
        <v>12</v>
      </c>
      <c r="L637" t="s">
        <v>455</v>
      </c>
      <c r="M637" t="s">
        <v>966</v>
      </c>
      <c r="O637">
        <f>AVERAGE(16.7/0.16,6.4/0.058)</f>
        <v>107.35991379310346</v>
      </c>
      <c r="FK637">
        <v>1</v>
      </c>
    </row>
    <row r="638" spans="1:198" x14ac:dyDescent="0.25">
      <c r="A638" t="s">
        <v>80</v>
      </c>
      <c r="B638" t="s">
        <v>54</v>
      </c>
      <c r="C638" s="3">
        <v>39.130000000000003</v>
      </c>
      <c r="D638" s="3">
        <v>117.18</v>
      </c>
      <c r="E638" t="s">
        <v>12</v>
      </c>
      <c r="F638" t="s">
        <v>22</v>
      </c>
      <c r="G638" t="s">
        <v>106</v>
      </c>
      <c r="I638" t="s">
        <v>15</v>
      </c>
      <c r="J638" t="s">
        <v>12</v>
      </c>
      <c r="K638" t="s">
        <v>12</v>
      </c>
      <c r="L638" t="s">
        <v>455</v>
      </c>
      <c r="M638" t="s">
        <v>966</v>
      </c>
      <c r="O638">
        <f>AVERAGE(56.8/0.255,8.9/0.05)</f>
        <v>200.37254901960785</v>
      </c>
      <c r="FE638">
        <v>1</v>
      </c>
    </row>
    <row r="639" spans="1:198" x14ac:dyDescent="0.25">
      <c r="A639" t="s">
        <v>80</v>
      </c>
      <c r="B639" t="s">
        <v>54</v>
      </c>
      <c r="C639" s="3">
        <v>39.130000000000003</v>
      </c>
      <c r="D639" s="3">
        <v>117.18</v>
      </c>
      <c r="E639" t="s">
        <v>12</v>
      </c>
      <c r="F639" t="s">
        <v>22</v>
      </c>
      <c r="G639" t="s">
        <v>106</v>
      </c>
      <c r="I639" t="s">
        <v>15</v>
      </c>
      <c r="J639" t="s">
        <v>12</v>
      </c>
      <c r="K639" t="s">
        <v>12</v>
      </c>
      <c r="L639" t="s">
        <v>455</v>
      </c>
      <c r="M639" t="s">
        <v>966</v>
      </c>
      <c r="O639">
        <f>AVERAGE(25.8/0.177,7.6/0.056)</f>
        <v>140.73849878934624</v>
      </c>
      <c r="FH639">
        <v>1</v>
      </c>
    </row>
    <row r="640" spans="1:198" x14ac:dyDescent="0.25">
      <c r="A640" t="s">
        <v>80</v>
      </c>
      <c r="B640" t="s">
        <v>54</v>
      </c>
      <c r="C640" s="3">
        <v>39.130000000000003</v>
      </c>
      <c r="D640" s="3">
        <v>117.18</v>
      </c>
      <c r="E640" t="s">
        <v>12</v>
      </c>
      <c r="F640" t="s">
        <v>22</v>
      </c>
      <c r="G640" t="s">
        <v>106</v>
      </c>
      <c r="I640" t="s">
        <v>15</v>
      </c>
      <c r="J640" t="s">
        <v>12</v>
      </c>
      <c r="K640" t="s">
        <v>12</v>
      </c>
      <c r="L640" t="s">
        <v>455</v>
      </c>
      <c r="M640" t="s">
        <v>966</v>
      </c>
      <c r="O640">
        <f>AVERAGE(14.3/0.172,3.8/0.042)</f>
        <v>86.807862679955704</v>
      </c>
      <c r="FK640">
        <v>1</v>
      </c>
    </row>
    <row r="641" spans="1:198" x14ac:dyDescent="0.25">
      <c r="A641" t="s">
        <v>80</v>
      </c>
      <c r="B641" t="s">
        <v>54</v>
      </c>
      <c r="C641" s="3">
        <v>39.130000000000003</v>
      </c>
      <c r="D641" s="3">
        <v>117.18</v>
      </c>
      <c r="E641" t="s">
        <v>12</v>
      </c>
      <c r="F641" t="s">
        <v>77</v>
      </c>
      <c r="G641" t="s">
        <v>106</v>
      </c>
      <c r="I641" t="s">
        <v>15</v>
      </c>
      <c r="J641" t="s">
        <v>12</v>
      </c>
      <c r="K641" t="s">
        <v>12</v>
      </c>
      <c r="L641" t="s">
        <v>455</v>
      </c>
      <c r="M641" t="s">
        <v>966</v>
      </c>
      <c r="O641">
        <f>AVERAGE(41.4/0.221,8/0.058)</f>
        <v>162.63067561242002</v>
      </c>
      <c r="FE641">
        <v>1</v>
      </c>
    </row>
    <row r="642" spans="1:198" x14ac:dyDescent="0.25">
      <c r="A642" t="s">
        <v>80</v>
      </c>
      <c r="B642" t="s">
        <v>54</v>
      </c>
      <c r="C642" s="3">
        <v>39.130000000000003</v>
      </c>
      <c r="D642" s="3">
        <v>117.18</v>
      </c>
      <c r="E642" t="s">
        <v>12</v>
      </c>
      <c r="F642" t="s">
        <v>77</v>
      </c>
      <c r="G642" t="s">
        <v>106</v>
      </c>
      <c r="I642" t="s">
        <v>15</v>
      </c>
      <c r="J642" t="s">
        <v>12</v>
      </c>
      <c r="K642" t="s">
        <v>12</v>
      </c>
      <c r="L642" t="s">
        <v>455</v>
      </c>
      <c r="M642" t="s">
        <v>966</v>
      </c>
      <c r="O642">
        <f>AVERAGE(19.2/0.173,5.6/0.051)</f>
        <v>110.39329026408251</v>
      </c>
      <c r="FH642">
        <v>1</v>
      </c>
    </row>
    <row r="643" spans="1:198" x14ac:dyDescent="0.25">
      <c r="A643" t="s">
        <v>80</v>
      </c>
      <c r="B643" t="s">
        <v>54</v>
      </c>
      <c r="C643" s="3">
        <v>39.130000000000003</v>
      </c>
      <c r="D643" s="3">
        <v>117.18</v>
      </c>
      <c r="E643" t="s">
        <v>12</v>
      </c>
      <c r="F643" t="s">
        <v>77</v>
      </c>
      <c r="G643" t="s">
        <v>106</v>
      </c>
      <c r="I643" t="s">
        <v>15</v>
      </c>
      <c r="J643" t="s">
        <v>12</v>
      </c>
      <c r="K643" t="s">
        <v>12</v>
      </c>
      <c r="L643" t="s">
        <v>455</v>
      </c>
      <c r="M643" t="s">
        <v>966</v>
      </c>
      <c r="O643">
        <f>AVERAGE(9/0.171,1.9/0.038)</f>
        <v>51.315789473684205</v>
      </c>
      <c r="FK643">
        <v>1</v>
      </c>
    </row>
    <row r="644" spans="1:198" x14ac:dyDescent="0.25">
      <c r="A644" t="s">
        <v>80</v>
      </c>
      <c r="B644" t="s">
        <v>54</v>
      </c>
      <c r="C644" s="3">
        <v>39.1</v>
      </c>
      <c r="D644" s="3">
        <v>117.2</v>
      </c>
      <c r="E644" t="s">
        <v>12</v>
      </c>
      <c r="F644" t="s">
        <v>77</v>
      </c>
      <c r="G644" t="s">
        <v>76</v>
      </c>
      <c r="I644" t="s">
        <v>15</v>
      </c>
      <c r="J644" t="s">
        <v>12</v>
      </c>
      <c r="K644" t="s">
        <v>12</v>
      </c>
      <c r="L644" t="s">
        <v>361</v>
      </c>
      <c r="M644" t="s">
        <v>1021</v>
      </c>
      <c r="O644">
        <v>136.30000000000001</v>
      </c>
      <c r="P644">
        <v>42.2</v>
      </c>
      <c r="GF644">
        <v>1</v>
      </c>
    </row>
    <row r="645" spans="1:198" x14ac:dyDescent="0.25">
      <c r="A645" t="s">
        <v>80</v>
      </c>
      <c r="B645" t="s">
        <v>54</v>
      </c>
      <c r="C645" s="3">
        <v>39.1</v>
      </c>
      <c r="D645" s="3">
        <v>117.2</v>
      </c>
      <c r="E645" t="s">
        <v>12</v>
      </c>
      <c r="F645" t="s">
        <v>77</v>
      </c>
      <c r="G645" t="s">
        <v>76</v>
      </c>
      <c r="I645" t="s">
        <v>15</v>
      </c>
      <c r="J645" t="s">
        <v>12</v>
      </c>
      <c r="K645" t="s">
        <v>12</v>
      </c>
      <c r="L645" t="s">
        <v>361</v>
      </c>
      <c r="M645" t="s">
        <v>1021</v>
      </c>
      <c r="O645">
        <v>160.6</v>
      </c>
      <c r="P645">
        <v>58.9</v>
      </c>
      <c r="GI645">
        <v>1</v>
      </c>
    </row>
    <row r="646" spans="1:198" x14ac:dyDescent="0.25">
      <c r="A646" t="s">
        <v>80</v>
      </c>
      <c r="B646" t="s">
        <v>54</v>
      </c>
      <c r="C646" s="3">
        <v>39.1</v>
      </c>
      <c r="D646" s="3">
        <v>117.2</v>
      </c>
      <c r="E646" t="s">
        <v>12</v>
      </c>
      <c r="F646" t="s">
        <v>77</v>
      </c>
      <c r="G646" t="s">
        <v>76</v>
      </c>
      <c r="I646" t="s">
        <v>15</v>
      </c>
      <c r="J646" t="s">
        <v>12</v>
      </c>
      <c r="K646" t="s">
        <v>12</v>
      </c>
      <c r="L646" t="s">
        <v>361</v>
      </c>
      <c r="M646" t="s">
        <v>1021</v>
      </c>
      <c r="O646">
        <v>152.19999999999999</v>
      </c>
      <c r="P646">
        <v>100.4</v>
      </c>
      <c r="GL646">
        <v>1</v>
      </c>
    </row>
    <row r="647" spans="1:198" x14ac:dyDescent="0.25">
      <c r="A647" t="s">
        <v>80</v>
      </c>
      <c r="B647" t="s">
        <v>54</v>
      </c>
      <c r="C647" s="3">
        <v>39.1</v>
      </c>
      <c r="D647" s="3">
        <v>117.2</v>
      </c>
      <c r="E647" t="s">
        <v>12</v>
      </c>
      <c r="F647" t="s">
        <v>77</v>
      </c>
      <c r="G647" t="s">
        <v>76</v>
      </c>
      <c r="I647" t="s">
        <v>15</v>
      </c>
      <c r="J647" t="s">
        <v>12</v>
      </c>
      <c r="K647" t="s">
        <v>12</v>
      </c>
      <c r="L647" t="s">
        <v>361</v>
      </c>
      <c r="M647" t="s">
        <v>1021</v>
      </c>
      <c r="O647">
        <v>116.7</v>
      </c>
      <c r="P647">
        <v>93.4</v>
      </c>
      <c r="GO647">
        <v>0.5</v>
      </c>
      <c r="GP647">
        <v>0.5</v>
      </c>
    </row>
    <row r="648" spans="1:198" x14ac:dyDescent="0.25">
      <c r="A648" t="s">
        <v>80</v>
      </c>
      <c r="B648" t="s">
        <v>54</v>
      </c>
      <c r="C648" s="3">
        <v>39.090000000000003</v>
      </c>
      <c r="D648" s="3">
        <v>117.18</v>
      </c>
      <c r="E648" t="s">
        <v>12</v>
      </c>
      <c r="F648" t="s">
        <v>77</v>
      </c>
      <c r="G648" t="s">
        <v>76</v>
      </c>
      <c r="I648" t="s">
        <v>15</v>
      </c>
      <c r="J648" t="s">
        <v>15</v>
      </c>
      <c r="K648" t="s">
        <v>15</v>
      </c>
      <c r="L648" t="s">
        <v>84</v>
      </c>
      <c r="M648" t="s">
        <v>1133</v>
      </c>
      <c r="O648">
        <v>141.47</v>
      </c>
      <c r="P648">
        <v>78.03</v>
      </c>
      <c r="GF648">
        <v>1</v>
      </c>
      <c r="GI648">
        <v>1</v>
      </c>
      <c r="GL648">
        <v>1</v>
      </c>
      <c r="GO648">
        <v>1</v>
      </c>
    </row>
    <row r="649" spans="1:198" x14ac:dyDescent="0.25">
      <c r="A649" t="s">
        <v>741</v>
      </c>
      <c r="B649" t="s">
        <v>54</v>
      </c>
      <c r="C649" s="3">
        <v>29.84</v>
      </c>
      <c r="D649" s="3">
        <v>106.05</v>
      </c>
      <c r="F649" t="s">
        <v>77</v>
      </c>
      <c r="G649" t="s">
        <v>742</v>
      </c>
      <c r="I649" t="s">
        <v>15</v>
      </c>
      <c r="J649" t="s">
        <v>15</v>
      </c>
      <c r="K649" t="s">
        <v>15</v>
      </c>
      <c r="L649" t="s">
        <v>778</v>
      </c>
      <c r="M649" t="s">
        <v>835</v>
      </c>
      <c r="O649">
        <v>107.9</v>
      </c>
      <c r="P649">
        <v>43.2</v>
      </c>
      <c r="CY649">
        <v>1</v>
      </c>
      <c r="CZ649">
        <v>1</v>
      </c>
      <c r="DA649">
        <v>1</v>
      </c>
      <c r="DB649">
        <v>1</v>
      </c>
      <c r="DC649">
        <v>1</v>
      </c>
      <c r="DD649">
        <v>1</v>
      </c>
      <c r="DE649">
        <v>1</v>
      </c>
      <c r="DF649">
        <v>1</v>
      </c>
      <c r="DG649">
        <v>1</v>
      </c>
      <c r="DH649">
        <v>1</v>
      </c>
      <c r="DI649">
        <v>1</v>
      </c>
      <c r="DJ649">
        <v>1</v>
      </c>
    </row>
    <row r="650" spans="1:198" x14ac:dyDescent="0.25">
      <c r="A650" t="s">
        <v>741</v>
      </c>
      <c r="B650" t="s">
        <v>54</v>
      </c>
      <c r="C650" s="3">
        <v>29.85</v>
      </c>
      <c r="D650" s="3">
        <v>106.05</v>
      </c>
      <c r="F650" t="s">
        <v>77</v>
      </c>
      <c r="G650" t="s">
        <v>742</v>
      </c>
      <c r="I650" t="s">
        <v>15</v>
      </c>
      <c r="J650" t="s">
        <v>15</v>
      </c>
      <c r="K650" t="s">
        <v>15</v>
      </c>
      <c r="L650" t="s">
        <v>778</v>
      </c>
      <c r="M650" t="s">
        <v>835</v>
      </c>
      <c r="O650">
        <v>115</v>
      </c>
      <c r="P650">
        <v>52.7</v>
      </c>
      <c r="CY650">
        <v>1</v>
      </c>
      <c r="CZ650">
        <v>1</v>
      </c>
      <c r="DA650">
        <v>1</v>
      </c>
      <c r="DB650">
        <v>1</v>
      </c>
      <c r="DC650">
        <v>1</v>
      </c>
      <c r="DD650">
        <v>1</v>
      </c>
      <c r="DE650">
        <v>1</v>
      </c>
      <c r="DF650">
        <v>1</v>
      </c>
      <c r="DG650">
        <v>1</v>
      </c>
      <c r="DH650">
        <v>1</v>
      </c>
      <c r="DI650">
        <v>1</v>
      </c>
      <c r="DJ650">
        <v>1</v>
      </c>
    </row>
    <row r="651" spans="1:198" x14ac:dyDescent="0.25">
      <c r="A651" t="s">
        <v>741</v>
      </c>
      <c r="B651" t="s">
        <v>54</v>
      </c>
      <c r="C651" s="3">
        <v>29.83</v>
      </c>
      <c r="D651" s="3">
        <v>106.05</v>
      </c>
      <c r="F651" t="s">
        <v>77</v>
      </c>
      <c r="G651" t="s">
        <v>742</v>
      </c>
      <c r="I651" t="s">
        <v>15</v>
      </c>
      <c r="J651" t="s">
        <v>15</v>
      </c>
      <c r="K651" t="s">
        <v>15</v>
      </c>
      <c r="L651" t="s">
        <v>778</v>
      </c>
      <c r="M651" t="s">
        <v>835</v>
      </c>
      <c r="O651">
        <v>123.2</v>
      </c>
      <c r="P651">
        <v>65.400000000000006</v>
      </c>
      <c r="CY651">
        <v>1</v>
      </c>
      <c r="CZ651">
        <v>1</v>
      </c>
      <c r="DA651">
        <v>1</v>
      </c>
      <c r="DB651">
        <v>1</v>
      </c>
      <c r="DC651">
        <v>1</v>
      </c>
      <c r="DD651">
        <v>1</v>
      </c>
      <c r="DE651">
        <v>1</v>
      </c>
      <c r="DF651">
        <v>1</v>
      </c>
      <c r="DG651">
        <v>1</v>
      </c>
      <c r="DH651">
        <v>1</v>
      </c>
      <c r="DI651">
        <v>1</v>
      </c>
      <c r="DJ651">
        <v>1</v>
      </c>
    </row>
    <row r="652" spans="1:198" x14ac:dyDescent="0.25">
      <c r="A652" t="s">
        <v>271</v>
      </c>
      <c r="B652" t="s">
        <v>54</v>
      </c>
      <c r="C652" s="3">
        <f>43+36/60</f>
        <v>43.6</v>
      </c>
      <c r="D652" s="3">
        <f>122+16/60</f>
        <v>122.26666666666667</v>
      </c>
      <c r="E652" t="s">
        <v>15</v>
      </c>
      <c r="F652" t="s">
        <v>20</v>
      </c>
      <c r="G652" t="s">
        <v>106</v>
      </c>
      <c r="I652" t="s">
        <v>12</v>
      </c>
      <c r="J652" t="s">
        <v>12</v>
      </c>
      <c r="K652" t="s">
        <v>15</v>
      </c>
      <c r="L652" t="s">
        <v>272</v>
      </c>
      <c r="M652" t="s">
        <v>1055</v>
      </c>
      <c r="O652">
        <v>126</v>
      </c>
      <c r="P652">
        <v>71</v>
      </c>
      <c r="EI652">
        <v>1</v>
      </c>
      <c r="EJ652">
        <v>1</v>
      </c>
      <c r="EK652">
        <v>1</v>
      </c>
      <c r="FB652">
        <v>1</v>
      </c>
      <c r="FC652">
        <v>1</v>
      </c>
      <c r="FD652">
        <v>1</v>
      </c>
      <c r="FE652">
        <v>1</v>
      </c>
      <c r="FF652">
        <v>1</v>
      </c>
      <c r="FG652">
        <v>1</v>
      </c>
      <c r="FH652">
        <v>1</v>
      </c>
      <c r="FI652">
        <v>1</v>
      </c>
      <c r="FJ652">
        <v>1</v>
      </c>
      <c r="FK652">
        <v>1</v>
      </c>
      <c r="FL652">
        <v>1</v>
      </c>
      <c r="FM652">
        <v>1</v>
      </c>
    </row>
    <row r="653" spans="1:198" x14ac:dyDescent="0.25">
      <c r="A653" t="s">
        <v>108</v>
      </c>
      <c r="B653" t="s">
        <v>54</v>
      </c>
      <c r="C653" s="3">
        <v>44.78</v>
      </c>
      <c r="D653" s="3">
        <v>123.09</v>
      </c>
      <c r="E653" t="s">
        <v>12</v>
      </c>
      <c r="F653" t="s">
        <v>20</v>
      </c>
      <c r="G653" t="s">
        <v>76</v>
      </c>
      <c r="H653">
        <v>40</v>
      </c>
      <c r="I653" t="s">
        <v>12</v>
      </c>
      <c r="J653" t="s">
        <v>12</v>
      </c>
      <c r="K653" t="s">
        <v>12</v>
      </c>
      <c r="L653" t="s">
        <v>901</v>
      </c>
      <c r="M653" t="s">
        <v>902</v>
      </c>
      <c r="O653">
        <v>261</v>
      </c>
      <c r="EV653">
        <v>0.5</v>
      </c>
      <c r="EW653">
        <v>1</v>
      </c>
      <c r="EX653">
        <v>1</v>
      </c>
    </row>
    <row r="654" spans="1:198" x14ac:dyDescent="0.25">
      <c r="A654" t="s">
        <v>108</v>
      </c>
      <c r="B654" t="s">
        <v>54</v>
      </c>
      <c r="C654" s="3">
        <f>44+25/60</f>
        <v>44.416666666666664</v>
      </c>
      <c r="D654" s="3">
        <f>122+52/60</f>
        <v>122.86666666666666</v>
      </c>
      <c r="E654" t="s">
        <v>15</v>
      </c>
      <c r="F654" t="s">
        <v>20</v>
      </c>
      <c r="G654" t="s">
        <v>76</v>
      </c>
      <c r="H654">
        <v>40</v>
      </c>
      <c r="I654" t="s">
        <v>15</v>
      </c>
      <c r="J654" t="s">
        <v>12</v>
      </c>
      <c r="K654" t="s">
        <v>12</v>
      </c>
      <c r="L654" t="s">
        <v>107</v>
      </c>
      <c r="M654" t="s">
        <v>1124</v>
      </c>
      <c r="N654" t="s">
        <v>105</v>
      </c>
      <c r="O654">
        <v>111.6</v>
      </c>
      <c r="P654">
        <v>63.4</v>
      </c>
      <c r="EV654">
        <v>0.5</v>
      </c>
      <c r="EW654">
        <v>1</v>
      </c>
      <c r="EX654">
        <v>1</v>
      </c>
    </row>
    <row r="655" spans="1:198" x14ac:dyDescent="0.25">
      <c r="A655" t="s">
        <v>474</v>
      </c>
      <c r="B655" t="s">
        <v>54</v>
      </c>
      <c r="C655" s="3">
        <v>43.82</v>
      </c>
      <c r="D655" s="3">
        <v>86.62</v>
      </c>
      <c r="E655" t="s">
        <v>12</v>
      </c>
      <c r="F655" t="s">
        <v>19</v>
      </c>
      <c r="G655" t="s">
        <v>106</v>
      </c>
      <c r="H655">
        <v>40</v>
      </c>
      <c r="I655" t="s">
        <v>12</v>
      </c>
      <c r="J655" t="s">
        <v>15</v>
      </c>
      <c r="K655" t="s">
        <v>12</v>
      </c>
      <c r="L655" t="s">
        <v>665</v>
      </c>
      <c r="M655" t="s">
        <v>854</v>
      </c>
      <c r="O655">
        <v>81.900000000000006</v>
      </c>
      <c r="FG655">
        <v>0.5</v>
      </c>
      <c r="FH655">
        <v>1</v>
      </c>
    </row>
    <row r="656" spans="1:198" x14ac:dyDescent="0.25">
      <c r="A656" t="s">
        <v>474</v>
      </c>
      <c r="B656" t="s">
        <v>54</v>
      </c>
      <c r="C656" s="3">
        <v>43.82</v>
      </c>
      <c r="D656" s="3">
        <v>86.62</v>
      </c>
      <c r="E656" t="s">
        <v>12</v>
      </c>
      <c r="F656" t="s">
        <v>19</v>
      </c>
      <c r="G656" t="s">
        <v>106</v>
      </c>
      <c r="H656">
        <v>40</v>
      </c>
      <c r="I656" t="s">
        <v>12</v>
      </c>
      <c r="J656" t="s">
        <v>15</v>
      </c>
      <c r="K656" t="s">
        <v>12</v>
      </c>
      <c r="L656" t="s">
        <v>665</v>
      </c>
      <c r="M656" t="s">
        <v>854</v>
      </c>
      <c r="O656">
        <v>45.9</v>
      </c>
      <c r="FK656">
        <v>0.5</v>
      </c>
      <c r="FL656">
        <v>1</v>
      </c>
    </row>
    <row r="657" spans="1:216" x14ac:dyDescent="0.25">
      <c r="A657" t="s">
        <v>474</v>
      </c>
      <c r="B657" t="s">
        <v>54</v>
      </c>
      <c r="C657">
        <v>43.82</v>
      </c>
      <c r="D657" s="3">
        <v>87.6</v>
      </c>
      <c r="E657" t="s">
        <v>12</v>
      </c>
      <c r="F657" t="s">
        <v>19</v>
      </c>
      <c r="G657" t="s">
        <v>106</v>
      </c>
      <c r="H657">
        <v>40</v>
      </c>
      <c r="I657" t="s">
        <v>12</v>
      </c>
      <c r="J657" t="s">
        <v>15</v>
      </c>
      <c r="K657" t="s">
        <v>15</v>
      </c>
      <c r="L657" t="s">
        <v>473</v>
      </c>
      <c r="M657" t="s">
        <v>965</v>
      </c>
      <c r="O657">
        <v>79.599999999999994</v>
      </c>
      <c r="FG657">
        <v>0.5</v>
      </c>
      <c r="FH657">
        <v>0.5</v>
      </c>
    </row>
    <row r="658" spans="1:216" x14ac:dyDescent="0.25">
      <c r="A658" t="s">
        <v>474</v>
      </c>
      <c r="B658" t="s">
        <v>54</v>
      </c>
      <c r="C658">
        <v>43.82</v>
      </c>
      <c r="D658" s="3">
        <v>87.6</v>
      </c>
      <c r="E658" t="s">
        <v>12</v>
      </c>
      <c r="F658" t="s">
        <v>19</v>
      </c>
      <c r="G658" t="s">
        <v>106</v>
      </c>
      <c r="H658">
        <v>40</v>
      </c>
      <c r="I658" t="s">
        <v>12</v>
      </c>
      <c r="J658" t="s">
        <v>15</v>
      </c>
      <c r="K658" t="s">
        <v>15</v>
      </c>
      <c r="L658" t="s">
        <v>473</v>
      </c>
      <c r="M658" t="s">
        <v>965</v>
      </c>
      <c r="O658">
        <v>64.7</v>
      </c>
      <c r="FK658">
        <v>0.5</v>
      </c>
      <c r="FL658">
        <v>0.5</v>
      </c>
    </row>
    <row r="659" spans="1:216" x14ac:dyDescent="0.25">
      <c r="A659" t="s">
        <v>474</v>
      </c>
      <c r="B659" t="s">
        <v>54</v>
      </c>
      <c r="C659">
        <v>43.82</v>
      </c>
      <c r="D659" s="3">
        <v>87.6</v>
      </c>
      <c r="E659" t="s">
        <v>12</v>
      </c>
      <c r="F659" t="s">
        <v>19</v>
      </c>
      <c r="G659" t="s">
        <v>106</v>
      </c>
      <c r="H659">
        <v>40</v>
      </c>
      <c r="I659" t="s">
        <v>12</v>
      </c>
      <c r="J659" t="s">
        <v>15</v>
      </c>
      <c r="K659" t="s">
        <v>15</v>
      </c>
      <c r="L659" t="s">
        <v>473</v>
      </c>
      <c r="M659" t="s">
        <v>965</v>
      </c>
      <c r="O659">
        <v>131.6</v>
      </c>
      <c r="FO659">
        <v>1</v>
      </c>
    </row>
    <row r="660" spans="1:216" x14ac:dyDescent="0.25">
      <c r="A660" t="s">
        <v>474</v>
      </c>
      <c r="B660" t="s">
        <v>54</v>
      </c>
      <c r="C660">
        <v>43.82</v>
      </c>
      <c r="D660" s="3">
        <v>87.6</v>
      </c>
      <c r="E660" t="s">
        <v>12</v>
      </c>
      <c r="F660" t="s">
        <v>19</v>
      </c>
      <c r="G660" t="s">
        <v>106</v>
      </c>
      <c r="H660">
        <v>40</v>
      </c>
      <c r="I660" t="s">
        <v>12</v>
      </c>
      <c r="J660" t="s">
        <v>15</v>
      </c>
      <c r="K660" t="s">
        <v>15</v>
      </c>
      <c r="L660" t="s">
        <v>473</v>
      </c>
      <c r="M660" t="s">
        <v>965</v>
      </c>
      <c r="O660">
        <v>223.7</v>
      </c>
      <c r="FP660">
        <v>1</v>
      </c>
      <c r="FQ660">
        <v>1</v>
      </c>
    </row>
    <row r="661" spans="1:216" x14ac:dyDescent="0.25">
      <c r="A661" t="s">
        <v>655</v>
      </c>
      <c r="B661" t="s">
        <v>54</v>
      </c>
      <c r="C661">
        <f>22+42/60</f>
        <v>22.7</v>
      </c>
      <c r="D661" s="3">
        <f>113+32/60</f>
        <v>113.53333333333333</v>
      </c>
      <c r="E661" t="s">
        <v>15</v>
      </c>
      <c r="F661" t="s">
        <v>20</v>
      </c>
      <c r="G661" t="s">
        <v>76</v>
      </c>
      <c r="I661" t="s">
        <v>15</v>
      </c>
      <c r="J661" t="s">
        <v>15</v>
      </c>
      <c r="K661" t="s">
        <v>12</v>
      </c>
      <c r="L661" t="s">
        <v>656</v>
      </c>
      <c r="M661" t="s">
        <v>862</v>
      </c>
      <c r="O661">
        <v>113</v>
      </c>
      <c r="P661">
        <v>23.6</v>
      </c>
      <c r="FN661">
        <v>0.25</v>
      </c>
      <c r="FO661">
        <v>1</v>
      </c>
    </row>
    <row r="662" spans="1:216" x14ac:dyDescent="0.25">
      <c r="A662" t="s">
        <v>655</v>
      </c>
      <c r="B662" t="s">
        <v>54</v>
      </c>
      <c r="C662">
        <f>22+42/60</f>
        <v>22.7</v>
      </c>
      <c r="D662" s="3">
        <f>113+32/60</f>
        <v>113.53333333333333</v>
      </c>
      <c r="E662" t="s">
        <v>15</v>
      </c>
      <c r="F662" t="s">
        <v>20</v>
      </c>
      <c r="G662" t="s">
        <v>76</v>
      </c>
      <c r="I662" t="s">
        <v>15</v>
      </c>
      <c r="J662" t="s">
        <v>15</v>
      </c>
      <c r="K662" t="s">
        <v>12</v>
      </c>
      <c r="L662" t="s">
        <v>654</v>
      </c>
      <c r="M662" t="s">
        <v>863</v>
      </c>
      <c r="O662">
        <v>80.2</v>
      </c>
      <c r="FX662">
        <v>0.25</v>
      </c>
      <c r="FY662">
        <v>1</v>
      </c>
    </row>
    <row r="663" spans="1:216" x14ac:dyDescent="0.25">
      <c r="A663" t="s">
        <v>655</v>
      </c>
      <c r="B663" t="s">
        <v>54</v>
      </c>
      <c r="C663">
        <f>22+42/60</f>
        <v>22.7</v>
      </c>
      <c r="D663" s="3">
        <f>113+32/60</f>
        <v>113.53333333333333</v>
      </c>
      <c r="E663" t="s">
        <v>15</v>
      </c>
      <c r="F663" t="s">
        <v>20</v>
      </c>
      <c r="G663" t="s">
        <v>76</v>
      </c>
      <c r="I663" t="s">
        <v>15</v>
      </c>
      <c r="J663" t="s">
        <v>15</v>
      </c>
      <c r="K663" t="s">
        <v>12</v>
      </c>
      <c r="L663" t="s">
        <v>654</v>
      </c>
      <c r="M663" t="s">
        <v>863</v>
      </c>
      <c r="O663">
        <v>103</v>
      </c>
      <c r="GA663">
        <v>1</v>
      </c>
      <c r="GB663">
        <v>0.25</v>
      </c>
    </row>
    <row r="664" spans="1:216" x14ac:dyDescent="0.25">
      <c r="A664" t="s">
        <v>155</v>
      </c>
      <c r="B664" t="s">
        <v>54</v>
      </c>
      <c r="C664" s="3">
        <f>22+42/60</f>
        <v>22.7</v>
      </c>
      <c r="D664" s="3">
        <f>113+32/60</f>
        <v>113.53333333333333</v>
      </c>
      <c r="E664" t="s">
        <v>15</v>
      </c>
      <c r="F664" t="s">
        <v>21</v>
      </c>
      <c r="G664" t="s">
        <v>76</v>
      </c>
      <c r="H664">
        <v>40</v>
      </c>
      <c r="I664" t="s">
        <v>15</v>
      </c>
      <c r="J664" t="s">
        <v>15</v>
      </c>
      <c r="K664" t="s">
        <v>15</v>
      </c>
      <c r="L664" t="s">
        <v>156</v>
      </c>
      <c r="M664" t="s">
        <v>1099</v>
      </c>
      <c r="O664">
        <v>70.8</v>
      </c>
      <c r="P664">
        <v>27.8</v>
      </c>
      <c r="GY664">
        <v>1</v>
      </c>
      <c r="GZ664">
        <v>1</v>
      </c>
    </row>
    <row r="665" spans="1:216" x14ac:dyDescent="0.25">
      <c r="A665" t="s">
        <v>53</v>
      </c>
      <c r="B665" t="s">
        <v>54</v>
      </c>
      <c r="C665" s="3">
        <v>34.49</v>
      </c>
      <c r="D665" s="3">
        <v>109.51</v>
      </c>
      <c r="E665" t="s">
        <v>12</v>
      </c>
      <c r="F665" t="s">
        <v>20</v>
      </c>
      <c r="G665" t="s">
        <v>55</v>
      </c>
      <c r="I665" t="s">
        <v>15</v>
      </c>
      <c r="J665" t="s">
        <v>12</v>
      </c>
      <c r="K665" t="s">
        <v>12</v>
      </c>
      <c r="L665" t="s">
        <v>56</v>
      </c>
      <c r="M665" t="s">
        <v>1141</v>
      </c>
      <c r="O665">
        <v>234.2</v>
      </c>
      <c r="FO665">
        <v>0.5</v>
      </c>
      <c r="FP665">
        <v>0.5</v>
      </c>
    </row>
    <row r="666" spans="1:216" x14ac:dyDescent="0.25">
      <c r="A666" t="s">
        <v>53</v>
      </c>
      <c r="B666" t="s">
        <v>54</v>
      </c>
      <c r="C666" s="3">
        <v>34.49</v>
      </c>
      <c r="D666" s="3">
        <v>109.51</v>
      </c>
      <c r="E666" t="s">
        <v>12</v>
      </c>
      <c r="F666" t="s">
        <v>20</v>
      </c>
      <c r="G666" t="s">
        <v>55</v>
      </c>
      <c r="I666" t="s">
        <v>15</v>
      </c>
      <c r="J666" t="s">
        <v>12</v>
      </c>
      <c r="K666" t="s">
        <v>12</v>
      </c>
      <c r="L666" t="s">
        <v>56</v>
      </c>
      <c r="M666" t="s">
        <v>1141</v>
      </c>
      <c r="O666">
        <v>123.3</v>
      </c>
      <c r="FJ666">
        <v>1</v>
      </c>
    </row>
    <row r="667" spans="1:216" x14ac:dyDescent="0.25">
      <c r="A667" t="s">
        <v>127</v>
      </c>
      <c r="B667" t="s">
        <v>54</v>
      </c>
      <c r="C667" s="3">
        <v>28.016500000000001</v>
      </c>
      <c r="D667" s="3">
        <v>120.6709</v>
      </c>
      <c r="E667" t="s">
        <v>15</v>
      </c>
      <c r="F667" t="s">
        <v>77</v>
      </c>
      <c r="G667" t="s">
        <v>76</v>
      </c>
      <c r="H667">
        <v>52</v>
      </c>
      <c r="I667" t="s">
        <v>15</v>
      </c>
      <c r="J667" t="s">
        <v>12</v>
      </c>
      <c r="K667" t="s">
        <v>12</v>
      </c>
      <c r="L667" t="s">
        <v>400</v>
      </c>
      <c r="M667" t="s">
        <v>997</v>
      </c>
      <c r="O667">
        <v>114.2</v>
      </c>
      <c r="P667">
        <v>45.7</v>
      </c>
      <c r="GY667">
        <v>0.5</v>
      </c>
    </row>
    <row r="668" spans="1:216" x14ac:dyDescent="0.25">
      <c r="A668" t="s">
        <v>127</v>
      </c>
      <c r="B668" t="s">
        <v>54</v>
      </c>
      <c r="C668" s="3">
        <v>28.016500000000001</v>
      </c>
      <c r="D668" s="3">
        <v>120.6709</v>
      </c>
      <c r="E668" t="s">
        <v>15</v>
      </c>
      <c r="F668" t="s">
        <v>77</v>
      </c>
      <c r="G668" t="s">
        <v>76</v>
      </c>
      <c r="H668">
        <v>52</v>
      </c>
      <c r="I668" t="s">
        <v>15</v>
      </c>
      <c r="J668" t="s">
        <v>12</v>
      </c>
      <c r="K668" t="s">
        <v>12</v>
      </c>
      <c r="L668" t="s">
        <v>400</v>
      </c>
      <c r="M668" t="s">
        <v>997</v>
      </c>
      <c r="O668">
        <v>134.1</v>
      </c>
      <c r="P668">
        <v>31.1</v>
      </c>
      <c r="HA668">
        <v>0.5</v>
      </c>
    </row>
    <row r="669" spans="1:216" x14ac:dyDescent="0.25">
      <c r="A669" t="s">
        <v>127</v>
      </c>
      <c r="B669" t="s">
        <v>54</v>
      </c>
      <c r="C669" s="3">
        <v>28.016500000000001</v>
      </c>
      <c r="D669" s="3">
        <v>120.6709</v>
      </c>
      <c r="E669" t="s">
        <v>15</v>
      </c>
      <c r="F669" t="s">
        <v>77</v>
      </c>
      <c r="G669" t="s">
        <v>76</v>
      </c>
      <c r="H669">
        <v>52</v>
      </c>
      <c r="I669" t="s">
        <v>15</v>
      </c>
      <c r="J669" t="s">
        <v>12</v>
      </c>
      <c r="K669" t="s">
        <v>12</v>
      </c>
      <c r="L669" t="s">
        <v>400</v>
      </c>
      <c r="M669" t="s">
        <v>997</v>
      </c>
      <c r="O669">
        <v>158</v>
      </c>
      <c r="P669">
        <v>41</v>
      </c>
      <c r="HD669">
        <v>0.5</v>
      </c>
    </row>
    <row r="670" spans="1:216" x14ac:dyDescent="0.25">
      <c r="A670" t="s">
        <v>127</v>
      </c>
      <c r="B670" t="s">
        <v>54</v>
      </c>
      <c r="C670" s="3">
        <v>28.016500000000001</v>
      </c>
      <c r="D670" s="3">
        <v>120.6709</v>
      </c>
      <c r="E670" t="s">
        <v>15</v>
      </c>
      <c r="F670" t="s">
        <v>77</v>
      </c>
      <c r="G670" t="s">
        <v>76</v>
      </c>
      <c r="H670">
        <v>52</v>
      </c>
      <c r="I670" t="s">
        <v>15</v>
      </c>
      <c r="J670" t="s">
        <v>12</v>
      </c>
      <c r="K670" t="s">
        <v>12</v>
      </c>
      <c r="L670" t="s">
        <v>400</v>
      </c>
      <c r="M670" t="s">
        <v>997</v>
      </c>
      <c r="O670">
        <v>61.7</v>
      </c>
      <c r="P670">
        <v>57.6</v>
      </c>
      <c r="HH670">
        <v>0.5</v>
      </c>
    </row>
    <row r="671" spans="1:216" x14ac:dyDescent="0.25">
      <c r="A671" t="s">
        <v>127</v>
      </c>
      <c r="B671" t="s">
        <v>54</v>
      </c>
      <c r="C671" s="3">
        <v>27.98</v>
      </c>
      <c r="D671" s="3">
        <v>120.7</v>
      </c>
      <c r="E671" t="s">
        <v>12</v>
      </c>
      <c r="F671" t="s">
        <v>77</v>
      </c>
      <c r="G671" t="s">
        <v>106</v>
      </c>
      <c r="H671">
        <v>50</v>
      </c>
      <c r="I671" t="s">
        <v>12</v>
      </c>
      <c r="J671" t="s">
        <v>12</v>
      </c>
      <c r="K671" t="s">
        <v>15</v>
      </c>
      <c r="L671" t="s">
        <v>133</v>
      </c>
      <c r="M671" t="s">
        <v>1111</v>
      </c>
      <c r="O671">
        <v>119</v>
      </c>
      <c r="P671">
        <v>35.200000000000003</v>
      </c>
      <c r="HH671">
        <v>0.5</v>
      </c>
    </row>
    <row r="672" spans="1:216" x14ac:dyDescent="0.25">
      <c r="A672" t="s">
        <v>92</v>
      </c>
      <c r="B672" t="s">
        <v>54</v>
      </c>
      <c r="C672" s="3">
        <v>30.5</v>
      </c>
      <c r="D672" s="3">
        <v>114.2</v>
      </c>
      <c r="E672" t="s">
        <v>15</v>
      </c>
      <c r="F672" t="s">
        <v>77</v>
      </c>
      <c r="G672" t="s">
        <v>716</v>
      </c>
      <c r="I672" t="s">
        <v>15</v>
      </c>
      <c r="J672" t="s">
        <v>12</v>
      </c>
      <c r="K672" t="s">
        <v>12</v>
      </c>
      <c r="L672" t="s">
        <v>761</v>
      </c>
      <c r="M672" t="s">
        <v>819</v>
      </c>
      <c r="O672">
        <v>166.6</v>
      </c>
      <c r="P672">
        <v>72.7</v>
      </c>
      <c r="DI672">
        <v>1</v>
      </c>
    </row>
    <row r="673" spans="1:232" x14ac:dyDescent="0.25">
      <c r="A673" t="s">
        <v>92</v>
      </c>
      <c r="B673" t="s">
        <v>54</v>
      </c>
      <c r="C673" s="3">
        <v>30.5</v>
      </c>
      <c r="D673" s="3">
        <v>114.2</v>
      </c>
      <c r="E673" t="s">
        <v>15</v>
      </c>
      <c r="F673" t="s">
        <v>77</v>
      </c>
      <c r="G673" t="s">
        <v>716</v>
      </c>
      <c r="I673" t="s">
        <v>15</v>
      </c>
      <c r="J673" t="s">
        <v>12</v>
      </c>
      <c r="K673" t="s">
        <v>12</v>
      </c>
      <c r="L673" t="s">
        <v>761</v>
      </c>
      <c r="M673" t="s">
        <v>819</v>
      </c>
      <c r="O673">
        <v>70.8</v>
      </c>
      <c r="P673">
        <v>21.3</v>
      </c>
      <c r="DN673">
        <v>1</v>
      </c>
      <c r="DO673">
        <v>1</v>
      </c>
    </row>
    <row r="674" spans="1:232" x14ac:dyDescent="0.25">
      <c r="A674" t="s">
        <v>92</v>
      </c>
      <c r="B674" t="s">
        <v>54</v>
      </c>
      <c r="C674" s="3">
        <v>30.52</v>
      </c>
      <c r="D674" s="3">
        <v>114.3</v>
      </c>
      <c r="E674" t="s">
        <v>12</v>
      </c>
      <c r="F674" t="s">
        <v>77</v>
      </c>
      <c r="G674" t="s">
        <v>95</v>
      </c>
      <c r="H674">
        <v>50</v>
      </c>
      <c r="I674" t="s">
        <v>12</v>
      </c>
      <c r="J674" t="s">
        <v>12</v>
      </c>
      <c r="K674" t="s">
        <v>15</v>
      </c>
      <c r="L674" t="s">
        <v>96</v>
      </c>
      <c r="M674" t="s">
        <v>1102</v>
      </c>
      <c r="O674">
        <f>(70+57)/2</f>
        <v>63.5</v>
      </c>
      <c r="P674">
        <f>(47+24)/2</f>
        <v>35.5</v>
      </c>
      <c r="Q674">
        <v>1</v>
      </c>
      <c r="R674">
        <v>1</v>
      </c>
      <c r="S674">
        <v>1</v>
      </c>
      <c r="T674">
        <v>1</v>
      </c>
      <c r="U674">
        <v>1</v>
      </c>
      <c r="V674">
        <v>1</v>
      </c>
      <c r="W674">
        <v>1</v>
      </c>
      <c r="X674">
        <v>1</v>
      </c>
      <c r="Y674">
        <v>1</v>
      </c>
      <c r="Z674">
        <v>1</v>
      </c>
      <c r="AA674">
        <v>1</v>
      </c>
      <c r="AB674">
        <v>1</v>
      </c>
    </row>
    <row r="675" spans="1:232" x14ac:dyDescent="0.25">
      <c r="A675" t="s">
        <v>92</v>
      </c>
      <c r="B675" t="s">
        <v>54</v>
      </c>
      <c r="C675" s="3">
        <v>30.52</v>
      </c>
      <c r="D675" s="3">
        <v>114.3</v>
      </c>
      <c r="E675" t="s">
        <v>12</v>
      </c>
      <c r="F675" t="s">
        <v>77</v>
      </c>
      <c r="G675" t="s">
        <v>95</v>
      </c>
      <c r="H675">
        <v>50</v>
      </c>
      <c r="I675" t="s">
        <v>12</v>
      </c>
      <c r="J675" t="s">
        <v>12</v>
      </c>
      <c r="K675" t="s">
        <v>15</v>
      </c>
      <c r="L675" t="s">
        <v>96</v>
      </c>
      <c r="M675" t="s">
        <v>1102</v>
      </c>
      <c r="O675">
        <f>(75+46)/2</f>
        <v>60.5</v>
      </c>
      <c r="P675">
        <f>(56+29)/2</f>
        <v>42.5</v>
      </c>
      <c r="AC675">
        <v>1</v>
      </c>
      <c r="AD675">
        <v>1</v>
      </c>
      <c r="AE675">
        <v>1</v>
      </c>
      <c r="AF675">
        <v>1</v>
      </c>
      <c r="AG675">
        <v>1</v>
      </c>
      <c r="AH675">
        <v>1</v>
      </c>
      <c r="AI675">
        <v>1</v>
      </c>
      <c r="AJ675">
        <v>1</v>
      </c>
      <c r="AK675">
        <v>1</v>
      </c>
      <c r="AL675">
        <v>1</v>
      </c>
      <c r="AM675">
        <v>1</v>
      </c>
      <c r="AN675">
        <v>1</v>
      </c>
    </row>
    <row r="676" spans="1:232" x14ac:dyDescent="0.25">
      <c r="A676" t="s">
        <v>593</v>
      </c>
      <c r="B676" t="s">
        <v>54</v>
      </c>
      <c r="C676" s="3">
        <f>40+37/60</f>
        <v>40.616666666666667</v>
      </c>
      <c r="D676" s="3">
        <f>112+35/60</f>
        <v>112.58333333333333</v>
      </c>
      <c r="E676" t="s">
        <v>15</v>
      </c>
      <c r="F676" t="s">
        <v>20</v>
      </c>
      <c r="G676" t="s">
        <v>76</v>
      </c>
      <c r="I676" t="s">
        <v>15</v>
      </c>
      <c r="J676" t="s">
        <v>12</v>
      </c>
      <c r="K676" t="s">
        <v>12</v>
      </c>
      <c r="L676" t="s">
        <v>592</v>
      </c>
      <c r="M676" t="s">
        <v>886</v>
      </c>
      <c r="O676">
        <v>64.5</v>
      </c>
      <c r="EN676">
        <v>0.25</v>
      </c>
      <c r="EO676">
        <v>0.25</v>
      </c>
    </row>
    <row r="677" spans="1:232" x14ac:dyDescent="0.25">
      <c r="A677" t="s">
        <v>593</v>
      </c>
      <c r="B677" t="s">
        <v>54</v>
      </c>
      <c r="C677" s="3">
        <f>40+37/60</f>
        <v>40.616666666666667</v>
      </c>
      <c r="D677" s="3">
        <f>112+35/60</f>
        <v>112.58333333333333</v>
      </c>
      <c r="E677" t="s">
        <v>15</v>
      </c>
      <c r="F677" t="s">
        <v>20</v>
      </c>
      <c r="G677" t="s">
        <v>76</v>
      </c>
      <c r="I677" t="s">
        <v>15</v>
      </c>
      <c r="J677" t="s">
        <v>12</v>
      </c>
      <c r="K677" t="s">
        <v>12</v>
      </c>
      <c r="L677" t="s">
        <v>592</v>
      </c>
      <c r="M677" t="s">
        <v>886</v>
      </c>
      <c r="O677">
        <v>115.6</v>
      </c>
      <c r="ES677">
        <v>0.5</v>
      </c>
    </row>
    <row r="678" spans="1:232" x14ac:dyDescent="0.25">
      <c r="A678" t="s">
        <v>593</v>
      </c>
      <c r="B678" t="s">
        <v>54</v>
      </c>
      <c r="C678" s="3">
        <f>40+37/60</f>
        <v>40.616666666666667</v>
      </c>
      <c r="D678" s="3">
        <f>112+35/60</f>
        <v>112.58333333333333</v>
      </c>
      <c r="E678" t="s">
        <v>15</v>
      </c>
      <c r="F678" t="s">
        <v>20</v>
      </c>
      <c r="G678" t="s">
        <v>76</v>
      </c>
      <c r="I678" t="s">
        <v>15</v>
      </c>
      <c r="J678" t="s">
        <v>12</v>
      </c>
      <c r="K678" t="s">
        <v>12</v>
      </c>
      <c r="L678" t="s">
        <v>592</v>
      </c>
      <c r="M678" t="s">
        <v>886</v>
      </c>
      <c r="O678">
        <v>50.7</v>
      </c>
      <c r="EX678">
        <v>0.5</v>
      </c>
      <c r="EY678">
        <v>1</v>
      </c>
    </row>
    <row r="679" spans="1:232" x14ac:dyDescent="0.25">
      <c r="A679" t="s">
        <v>593</v>
      </c>
      <c r="B679" t="s">
        <v>54</v>
      </c>
      <c r="C679" s="3">
        <f>40+37/60</f>
        <v>40.616666666666667</v>
      </c>
      <c r="D679" s="3">
        <f>112+35/60</f>
        <v>112.58333333333333</v>
      </c>
      <c r="E679" t="s">
        <v>15</v>
      </c>
      <c r="F679" t="s">
        <v>20</v>
      </c>
      <c r="G679" t="s">
        <v>76</v>
      </c>
      <c r="I679" t="s">
        <v>15</v>
      </c>
      <c r="J679" t="s">
        <v>12</v>
      </c>
      <c r="K679" t="s">
        <v>12</v>
      </c>
      <c r="L679" t="s">
        <v>592</v>
      </c>
      <c r="M679" t="s">
        <v>886</v>
      </c>
      <c r="O679">
        <v>71.400000000000006</v>
      </c>
      <c r="FH679">
        <v>0.5</v>
      </c>
      <c r="FI679">
        <v>0.5</v>
      </c>
    </row>
    <row r="680" spans="1:232" x14ac:dyDescent="0.25">
      <c r="A680" t="s">
        <v>74</v>
      </c>
      <c r="B680" t="s">
        <v>54</v>
      </c>
      <c r="C680" s="3">
        <v>24.4</v>
      </c>
      <c r="D680" s="3">
        <v>118.1</v>
      </c>
      <c r="E680" t="s">
        <v>15</v>
      </c>
      <c r="F680" t="s">
        <v>77</v>
      </c>
      <c r="G680" t="s">
        <v>716</v>
      </c>
      <c r="I680" t="s">
        <v>15</v>
      </c>
      <c r="J680" t="s">
        <v>12</v>
      </c>
      <c r="K680" t="s">
        <v>12</v>
      </c>
      <c r="L680" t="s">
        <v>761</v>
      </c>
      <c r="M680" t="s">
        <v>819</v>
      </c>
      <c r="O680">
        <v>70.2</v>
      </c>
      <c r="P680">
        <v>32.200000000000003</v>
      </c>
      <c r="DI680">
        <v>1</v>
      </c>
    </row>
    <row r="681" spans="1:232" x14ac:dyDescent="0.25">
      <c r="A681" t="s">
        <v>74</v>
      </c>
      <c r="B681" t="s">
        <v>54</v>
      </c>
      <c r="C681" s="3">
        <v>24.4</v>
      </c>
      <c r="D681" s="3">
        <v>118.1</v>
      </c>
      <c r="E681" t="s">
        <v>15</v>
      </c>
      <c r="F681" t="s">
        <v>77</v>
      </c>
      <c r="G681" t="s">
        <v>716</v>
      </c>
      <c r="I681" t="s">
        <v>15</v>
      </c>
      <c r="J681" t="s">
        <v>12</v>
      </c>
      <c r="K681" t="s">
        <v>12</v>
      </c>
      <c r="L681" t="s">
        <v>761</v>
      </c>
      <c r="M681" t="s">
        <v>819</v>
      </c>
      <c r="O681">
        <v>25.2</v>
      </c>
      <c r="P681">
        <v>15.8</v>
      </c>
      <c r="DN681">
        <v>1</v>
      </c>
      <c r="DO681">
        <v>1</v>
      </c>
    </row>
    <row r="682" spans="1:232" x14ac:dyDescent="0.25">
      <c r="A682" t="s">
        <v>74</v>
      </c>
      <c r="B682" t="s">
        <v>54</v>
      </c>
      <c r="C682" s="3">
        <v>24.4678</v>
      </c>
      <c r="D682" s="3">
        <v>118.1519</v>
      </c>
      <c r="E682" t="s">
        <v>15</v>
      </c>
      <c r="F682" t="s">
        <v>77</v>
      </c>
      <c r="G682" t="s">
        <v>76</v>
      </c>
      <c r="H682">
        <v>52</v>
      </c>
      <c r="I682" t="s">
        <v>15</v>
      </c>
      <c r="J682" t="s">
        <v>12</v>
      </c>
      <c r="K682" t="s">
        <v>12</v>
      </c>
      <c r="L682" t="s">
        <v>398</v>
      </c>
      <c r="M682" t="s">
        <v>998</v>
      </c>
      <c r="O682">
        <v>99.9</v>
      </c>
      <c r="P682">
        <v>39.29</v>
      </c>
      <c r="HA682">
        <v>0.5</v>
      </c>
    </row>
    <row r="683" spans="1:232" x14ac:dyDescent="0.25">
      <c r="A683" t="s">
        <v>74</v>
      </c>
      <c r="B683" t="s">
        <v>54</v>
      </c>
      <c r="C683" s="3">
        <v>24.4678</v>
      </c>
      <c r="D683" s="3">
        <v>118.1519</v>
      </c>
      <c r="E683" t="s">
        <v>15</v>
      </c>
      <c r="F683" t="s">
        <v>77</v>
      </c>
      <c r="G683" t="s">
        <v>76</v>
      </c>
      <c r="H683">
        <v>52</v>
      </c>
      <c r="I683" t="s">
        <v>15</v>
      </c>
      <c r="J683" t="s">
        <v>12</v>
      </c>
      <c r="K683" t="s">
        <v>12</v>
      </c>
      <c r="L683" t="s">
        <v>398</v>
      </c>
      <c r="M683" t="s">
        <v>998</v>
      </c>
      <c r="O683">
        <v>40.81</v>
      </c>
      <c r="P683">
        <v>27.89</v>
      </c>
      <c r="HH683">
        <v>0.5</v>
      </c>
    </row>
    <row r="684" spans="1:232" x14ac:dyDescent="0.25">
      <c r="A684" t="s">
        <v>74</v>
      </c>
      <c r="B684" t="s">
        <v>54</v>
      </c>
      <c r="C684" s="3">
        <v>24.610299999999999</v>
      </c>
      <c r="D684" s="3">
        <v>118.0594</v>
      </c>
      <c r="E684" t="s">
        <v>15</v>
      </c>
      <c r="F684" t="s">
        <v>77</v>
      </c>
      <c r="G684" t="s">
        <v>76</v>
      </c>
      <c r="H684">
        <v>52</v>
      </c>
      <c r="I684" t="s">
        <v>15</v>
      </c>
      <c r="J684" t="s">
        <v>12</v>
      </c>
      <c r="K684" t="s">
        <v>12</v>
      </c>
      <c r="L684" t="s">
        <v>398</v>
      </c>
      <c r="M684" t="s">
        <v>998</v>
      </c>
      <c r="O684">
        <v>121.65</v>
      </c>
      <c r="P684">
        <v>26.41</v>
      </c>
      <c r="HA684">
        <v>0.5</v>
      </c>
    </row>
    <row r="685" spans="1:232" x14ac:dyDescent="0.25">
      <c r="A685" t="s">
        <v>74</v>
      </c>
      <c r="B685" t="s">
        <v>54</v>
      </c>
      <c r="C685" s="3">
        <v>24.610299999999999</v>
      </c>
      <c r="D685" s="3">
        <v>118.0594</v>
      </c>
      <c r="E685" t="s">
        <v>15</v>
      </c>
      <c r="F685" t="s">
        <v>77</v>
      </c>
      <c r="G685" t="s">
        <v>76</v>
      </c>
      <c r="H685">
        <v>52</v>
      </c>
      <c r="I685" t="s">
        <v>15</v>
      </c>
      <c r="J685" t="s">
        <v>12</v>
      </c>
      <c r="K685" t="s">
        <v>12</v>
      </c>
      <c r="L685" t="s">
        <v>398</v>
      </c>
      <c r="M685" t="s">
        <v>998</v>
      </c>
      <c r="O685">
        <v>71.91</v>
      </c>
      <c r="P685">
        <v>32.64</v>
      </c>
      <c r="HH685">
        <v>0.5</v>
      </c>
    </row>
    <row r="686" spans="1:232" x14ac:dyDescent="0.25">
      <c r="A686" t="s">
        <v>74</v>
      </c>
      <c r="B686" t="s">
        <v>54</v>
      </c>
      <c r="C686" s="3">
        <v>24.61</v>
      </c>
      <c r="D686" s="3">
        <v>118.06</v>
      </c>
      <c r="E686" t="s">
        <v>15</v>
      </c>
      <c r="F686" t="s">
        <v>8</v>
      </c>
      <c r="G686" t="s">
        <v>60</v>
      </c>
      <c r="I686" t="s">
        <v>12</v>
      </c>
      <c r="J686" t="s">
        <v>12</v>
      </c>
      <c r="K686" t="s">
        <v>12</v>
      </c>
      <c r="L686" t="s">
        <v>397</v>
      </c>
      <c r="M686" t="s">
        <v>999</v>
      </c>
      <c r="O686">
        <v>21</v>
      </c>
      <c r="P686">
        <v>2.5</v>
      </c>
      <c r="HR686">
        <v>1</v>
      </c>
      <c r="HS686">
        <v>1</v>
      </c>
      <c r="HT686">
        <v>1</v>
      </c>
    </row>
    <row r="687" spans="1:232" x14ac:dyDescent="0.25">
      <c r="A687" t="s">
        <v>74</v>
      </c>
      <c r="B687" t="s">
        <v>54</v>
      </c>
      <c r="C687" s="3">
        <v>24.61</v>
      </c>
      <c r="D687" s="3">
        <v>118.06</v>
      </c>
      <c r="E687" t="s">
        <v>15</v>
      </c>
      <c r="F687" t="s">
        <v>8</v>
      </c>
      <c r="G687" t="s">
        <v>60</v>
      </c>
      <c r="I687" t="s">
        <v>12</v>
      </c>
      <c r="J687" t="s">
        <v>12</v>
      </c>
      <c r="K687" t="s">
        <v>12</v>
      </c>
      <c r="L687" t="s">
        <v>397</v>
      </c>
      <c r="M687" t="s">
        <v>999</v>
      </c>
      <c r="O687">
        <v>29.8</v>
      </c>
      <c r="P687">
        <v>4.8</v>
      </c>
      <c r="HU687">
        <v>1</v>
      </c>
      <c r="HV687">
        <v>1</v>
      </c>
      <c r="HW687">
        <v>1</v>
      </c>
    </row>
    <row r="688" spans="1:232" x14ac:dyDescent="0.25">
      <c r="A688" t="s">
        <v>74</v>
      </c>
      <c r="B688" t="s">
        <v>54</v>
      </c>
      <c r="C688" s="3">
        <v>24.61</v>
      </c>
      <c r="D688" s="3">
        <v>118.06</v>
      </c>
      <c r="E688" t="s">
        <v>15</v>
      </c>
      <c r="F688" t="s">
        <v>8</v>
      </c>
      <c r="G688" t="s">
        <v>60</v>
      </c>
      <c r="I688" t="s">
        <v>12</v>
      </c>
      <c r="J688" t="s">
        <v>12</v>
      </c>
      <c r="K688" t="s">
        <v>12</v>
      </c>
      <c r="L688" t="s">
        <v>397</v>
      </c>
      <c r="M688" t="s">
        <v>999</v>
      </c>
      <c r="O688">
        <v>36.299999999999997</v>
      </c>
      <c r="P688">
        <v>6.4</v>
      </c>
      <c r="HM688">
        <v>1</v>
      </c>
      <c r="HN688">
        <v>1</v>
      </c>
      <c r="HX688">
        <v>1</v>
      </c>
    </row>
    <row r="689" spans="1:225" x14ac:dyDescent="0.25">
      <c r="A689" t="s">
        <v>74</v>
      </c>
      <c r="B689" t="s">
        <v>54</v>
      </c>
      <c r="C689" s="3">
        <v>24.61</v>
      </c>
      <c r="D689" s="3">
        <v>118.06</v>
      </c>
      <c r="E689" t="s">
        <v>15</v>
      </c>
      <c r="F689" t="s">
        <v>8</v>
      </c>
      <c r="G689" t="s">
        <v>60</v>
      </c>
      <c r="I689" t="s">
        <v>12</v>
      </c>
      <c r="J689" t="s">
        <v>12</v>
      </c>
      <c r="K689" t="s">
        <v>12</v>
      </c>
      <c r="L689" t="s">
        <v>397</v>
      </c>
      <c r="M689" t="s">
        <v>999</v>
      </c>
      <c r="O689">
        <v>43.6</v>
      </c>
      <c r="P689">
        <v>5</v>
      </c>
      <c r="HO689">
        <v>1</v>
      </c>
      <c r="HP689">
        <v>1</v>
      </c>
      <c r="HQ689">
        <v>1</v>
      </c>
    </row>
    <row r="690" spans="1:225" x14ac:dyDescent="0.25">
      <c r="A690" t="s">
        <v>74</v>
      </c>
      <c r="B690" t="s">
        <v>54</v>
      </c>
      <c r="C690" s="3">
        <v>24.61</v>
      </c>
      <c r="D690" s="3">
        <v>118.06</v>
      </c>
      <c r="E690" t="s">
        <v>15</v>
      </c>
      <c r="F690" t="s">
        <v>8</v>
      </c>
      <c r="G690" t="s">
        <v>76</v>
      </c>
      <c r="I690" t="s">
        <v>15</v>
      </c>
      <c r="J690" t="s">
        <v>12</v>
      </c>
      <c r="K690" t="s">
        <v>12</v>
      </c>
      <c r="L690" t="s">
        <v>396</v>
      </c>
      <c r="M690" t="s">
        <v>1000</v>
      </c>
      <c r="N690" t="s">
        <v>395</v>
      </c>
      <c r="O690">
        <f>AVERAGE(9/0.155,3/0.05)</f>
        <v>59.032258064516128</v>
      </c>
      <c r="P690">
        <f>STDEV(9/0.155,3/0.05)</f>
        <v>1.3685937700384803</v>
      </c>
      <c r="GH690">
        <v>1</v>
      </c>
      <c r="GI690">
        <v>1</v>
      </c>
      <c r="GJ690">
        <v>1</v>
      </c>
    </row>
    <row r="691" spans="1:225" x14ac:dyDescent="0.25">
      <c r="A691" t="s">
        <v>74</v>
      </c>
      <c r="B691" t="s">
        <v>54</v>
      </c>
      <c r="C691" s="3">
        <v>24.61</v>
      </c>
      <c r="D691" s="3">
        <v>118.06</v>
      </c>
      <c r="E691" t="s">
        <v>15</v>
      </c>
      <c r="F691" t="s">
        <v>8</v>
      </c>
      <c r="G691" t="s">
        <v>76</v>
      </c>
      <c r="I691" t="s">
        <v>15</v>
      </c>
      <c r="J691" t="s">
        <v>12</v>
      </c>
      <c r="K691" t="s">
        <v>12</v>
      </c>
      <c r="L691" t="s">
        <v>396</v>
      </c>
      <c r="M691" t="s">
        <v>1000</v>
      </c>
      <c r="N691" t="s">
        <v>395</v>
      </c>
      <c r="O691">
        <f>AVERAGE(13/0.195,3.5/0.05)</f>
        <v>68.333333333333343</v>
      </c>
      <c r="P691">
        <f>STDEV(13/0.195,3.5/0.05)</f>
        <v>2.3570226039551549</v>
      </c>
      <c r="GK691">
        <v>1</v>
      </c>
      <c r="GL691">
        <v>1</v>
      </c>
      <c r="GM691">
        <v>1</v>
      </c>
    </row>
    <row r="692" spans="1:225" x14ac:dyDescent="0.25">
      <c r="A692" t="s">
        <v>74</v>
      </c>
      <c r="B692" t="s">
        <v>54</v>
      </c>
      <c r="C692" s="3">
        <v>24.61</v>
      </c>
      <c r="D692" s="3">
        <v>118.06</v>
      </c>
      <c r="E692" t="s">
        <v>15</v>
      </c>
      <c r="F692" t="s">
        <v>8</v>
      </c>
      <c r="G692" t="s">
        <v>76</v>
      </c>
      <c r="I692" t="s">
        <v>15</v>
      </c>
      <c r="J692" t="s">
        <v>12</v>
      </c>
      <c r="K692" t="s">
        <v>12</v>
      </c>
      <c r="L692" t="s">
        <v>396</v>
      </c>
      <c r="M692" t="s">
        <v>1000</v>
      </c>
      <c r="N692" t="s">
        <v>395</v>
      </c>
      <c r="O692">
        <f>AVERAGE(31/0.19,5/0.03)</f>
        <v>164.91228070175441</v>
      </c>
      <c r="P692">
        <f>STDEV(31/0.19,5/0.03)</f>
        <v>2.4810764252159667</v>
      </c>
      <c r="GN692">
        <v>1</v>
      </c>
      <c r="GO692">
        <v>1</v>
      </c>
      <c r="GP692">
        <v>1</v>
      </c>
    </row>
    <row r="693" spans="1:225" x14ac:dyDescent="0.25">
      <c r="A693" t="s">
        <v>74</v>
      </c>
      <c r="B693" t="s">
        <v>54</v>
      </c>
      <c r="C693" s="3">
        <v>24.61</v>
      </c>
      <c r="D693" s="3">
        <v>118.06</v>
      </c>
      <c r="E693" t="s">
        <v>15</v>
      </c>
      <c r="F693" t="s">
        <v>8</v>
      </c>
      <c r="G693" t="s">
        <v>76</v>
      </c>
      <c r="I693" t="s">
        <v>15</v>
      </c>
      <c r="J693" t="s">
        <v>12</v>
      </c>
      <c r="K693" t="s">
        <v>12</v>
      </c>
      <c r="L693" t="s">
        <v>396</v>
      </c>
      <c r="M693" t="s">
        <v>1000</v>
      </c>
      <c r="N693" t="s">
        <v>395</v>
      </c>
      <c r="O693">
        <f>AVERAGE(14.5/0.15,4/0.04)</f>
        <v>98.333333333333343</v>
      </c>
      <c r="P693">
        <f>STDEV(14.5/0.15,4/0.04)</f>
        <v>2.3570226039551549</v>
      </c>
      <c r="GQ693">
        <v>1</v>
      </c>
      <c r="GR693">
        <v>1</v>
      </c>
      <c r="GS693">
        <v>1</v>
      </c>
    </row>
    <row r="694" spans="1:225" x14ac:dyDescent="0.25">
      <c r="A694" t="s">
        <v>74</v>
      </c>
      <c r="B694" t="s">
        <v>54</v>
      </c>
      <c r="C694" s="3">
        <v>24.52</v>
      </c>
      <c r="D694" s="3">
        <v>118.09</v>
      </c>
      <c r="E694" t="s">
        <v>12</v>
      </c>
      <c r="F694" t="s">
        <v>77</v>
      </c>
      <c r="G694" t="s">
        <v>106</v>
      </c>
      <c r="H694">
        <v>50</v>
      </c>
      <c r="I694" t="s">
        <v>12</v>
      </c>
      <c r="J694" t="s">
        <v>12</v>
      </c>
      <c r="K694" t="s">
        <v>15</v>
      </c>
      <c r="L694" t="s">
        <v>133</v>
      </c>
      <c r="M694" t="s">
        <v>1111</v>
      </c>
      <c r="O694">
        <f>AVERAGE(92.4,64.3)</f>
        <v>78.349999999999994</v>
      </c>
      <c r="P694">
        <f>AVERAGE(18.6,17.1)</f>
        <v>17.850000000000001</v>
      </c>
      <c r="HH694">
        <v>0.5</v>
      </c>
    </row>
    <row r="695" spans="1:225" x14ac:dyDescent="0.25">
      <c r="A695" t="s">
        <v>74</v>
      </c>
      <c r="B695" t="s">
        <v>54</v>
      </c>
      <c r="C695" s="3">
        <v>24.6</v>
      </c>
      <c r="D695" s="3">
        <v>118.05</v>
      </c>
      <c r="E695" t="s">
        <v>12</v>
      </c>
      <c r="F695" t="s">
        <v>77</v>
      </c>
      <c r="G695" t="s">
        <v>76</v>
      </c>
      <c r="H695">
        <v>50</v>
      </c>
      <c r="I695" t="s">
        <v>15</v>
      </c>
      <c r="J695" t="s">
        <v>15</v>
      </c>
      <c r="K695" t="s">
        <v>15</v>
      </c>
      <c r="L695" t="s">
        <v>103</v>
      </c>
      <c r="M695" t="s">
        <v>1126</v>
      </c>
      <c r="O695">
        <v>58.61</v>
      </c>
      <c r="GH695">
        <v>1</v>
      </c>
    </row>
    <row r="696" spans="1:225" x14ac:dyDescent="0.25">
      <c r="A696" t="s">
        <v>74</v>
      </c>
      <c r="B696" t="s">
        <v>54</v>
      </c>
      <c r="C696" s="3">
        <v>24.6</v>
      </c>
      <c r="D696" s="3">
        <v>118.05</v>
      </c>
      <c r="E696" t="s">
        <v>12</v>
      </c>
      <c r="F696" t="s">
        <v>77</v>
      </c>
      <c r="G696" t="s">
        <v>76</v>
      </c>
      <c r="H696">
        <v>50</v>
      </c>
      <c r="I696" t="s">
        <v>15</v>
      </c>
      <c r="J696" t="s">
        <v>15</v>
      </c>
      <c r="K696" t="s">
        <v>15</v>
      </c>
      <c r="L696" t="s">
        <v>103</v>
      </c>
      <c r="M696" t="s">
        <v>1126</v>
      </c>
      <c r="O696">
        <v>61.05</v>
      </c>
      <c r="GI696">
        <v>1</v>
      </c>
    </row>
    <row r="697" spans="1:225" x14ac:dyDescent="0.25">
      <c r="A697" t="s">
        <v>74</v>
      </c>
      <c r="B697" t="s">
        <v>54</v>
      </c>
      <c r="C697" s="3">
        <v>24.6</v>
      </c>
      <c r="D697" s="3">
        <v>118.05</v>
      </c>
      <c r="E697" t="s">
        <v>12</v>
      </c>
      <c r="F697" t="s">
        <v>77</v>
      </c>
      <c r="G697" t="s">
        <v>76</v>
      </c>
      <c r="H697">
        <v>50</v>
      </c>
      <c r="I697" t="s">
        <v>15</v>
      </c>
      <c r="J697" t="s">
        <v>15</v>
      </c>
      <c r="K697" t="s">
        <v>15</v>
      </c>
      <c r="L697" t="s">
        <v>103</v>
      </c>
      <c r="M697" t="s">
        <v>1126</v>
      </c>
      <c r="O697">
        <v>67.13</v>
      </c>
      <c r="GJ697">
        <v>1</v>
      </c>
    </row>
    <row r="698" spans="1:225" x14ac:dyDescent="0.25">
      <c r="A698" t="s">
        <v>74</v>
      </c>
      <c r="B698" t="s">
        <v>54</v>
      </c>
      <c r="C698" s="3">
        <v>24.6</v>
      </c>
      <c r="D698" s="3">
        <v>118.05</v>
      </c>
      <c r="E698" t="s">
        <v>12</v>
      </c>
      <c r="F698" t="s">
        <v>77</v>
      </c>
      <c r="G698" t="s">
        <v>76</v>
      </c>
      <c r="H698">
        <v>50</v>
      </c>
      <c r="I698" t="s">
        <v>15</v>
      </c>
      <c r="J698" t="s">
        <v>15</v>
      </c>
      <c r="K698" t="s">
        <v>15</v>
      </c>
      <c r="L698" t="s">
        <v>103</v>
      </c>
      <c r="M698" t="s">
        <v>1126</v>
      </c>
      <c r="O698">
        <v>75.14</v>
      </c>
      <c r="GK698">
        <v>1</v>
      </c>
    </row>
    <row r="699" spans="1:225" x14ac:dyDescent="0.25">
      <c r="A699" t="s">
        <v>74</v>
      </c>
      <c r="B699" t="s">
        <v>54</v>
      </c>
      <c r="C699" s="3">
        <v>24.6</v>
      </c>
      <c r="D699" s="3">
        <v>118.05</v>
      </c>
      <c r="E699" t="s">
        <v>12</v>
      </c>
      <c r="F699" t="s">
        <v>77</v>
      </c>
      <c r="G699" t="s">
        <v>76</v>
      </c>
      <c r="H699">
        <v>50</v>
      </c>
      <c r="I699" t="s">
        <v>15</v>
      </c>
      <c r="J699" t="s">
        <v>15</v>
      </c>
      <c r="K699" t="s">
        <v>15</v>
      </c>
      <c r="L699" t="s">
        <v>103</v>
      </c>
      <c r="M699" t="s">
        <v>1126</v>
      </c>
      <c r="O699">
        <v>82.34</v>
      </c>
      <c r="GL699">
        <v>1</v>
      </c>
    </row>
    <row r="700" spans="1:225" x14ac:dyDescent="0.25">
      <c r="A700" t="s">
        <v>74</v>
      </c>
      <c r="B700" t="s">
        <v>54</v>
      </c>
      <c r="C700" s="3">
        <v>24.6</v>
      </c>
      <c r="D700" s="3">
        <v>118.05</v>
      </c>
      <c r="E700" t="s">
        <v>12</v>
      </c>
      <c r="F700" t="s">
        <v>77</v>
      </c>
      <c r="G700" t="s">
        <v>76</v>
      </c>
      <c r="H700">
        <v>50</v>
      </c>
      <c r="I700" t="s">
        <v>15</v>
      </c>
      <c r="J700" t="s">
        <v>15</v>
      </c>
      <c r="K700" t="s">
        <v>15</v>
      </c>
      <c r="L700" t="s">
        <v>103</v>
      </c>
      <c r="M700" t="s">
        <v>1126</v>
      </c>
      <c r="O700">
        <v>93.76</v>
      </c>
      <c r="GM700">
        <v>1</v>
      </c>
    </row>
    <row r="701" spans="1:225" x14ac:dyDescent="0.25">
      <c r="A701" t="s">
        <v>74</v>
      </c>
      <c r="B701" t="s">
        <v>54</v>
      </c>
      <c r="C701" s="3">
        <v>24.6</v>
      </c>
      <c r="D701" s="3">
        <v>118.05</v>
      </c>
      <c r="E701" t="s">
        <v>12</v>
      </c>
      <c r="F701" t="s">
        <v>77</v>
      </c>
      <c r="G701" t="s">
        <v>76</v>
      </c>
      <c r="H701">
        <v>50</v>
      </c>
      <c r="I701" t="s">
        <v>15</v>
      </c>
      <c r="J701" t="s">
        <v>15</v>
      </c>
      <c r="K701" t="s">
        <v>15</v>
      </c>
      <c r="L701" t="s">
        <v>103</v>
      </c>
      <c r="M701" t="s">
        <v>1126</v>
      </c>
      <c r="O701">
        <v>83.75</v>
      </c>
      <c r="GN701">
        <v>1</v>
      </c>
    </row>
    <row r="702" spans="1:225" x14ac:dyDescent="0.25">
      <c r="A702" t="s">
        <v>74</v>
      </c>
      <c r="B702" t="s">
        <v>54</v>
      </c>
      <c r="C702" s="3">
        <v>24.6</v>
      </c>
      <c r="D702" s="3">
        <v>118.05</v>
      </c>
      <c r="E702" t="s">
        <v>12</v>
      </c>
      <c r="F702" t="s">
        <v>77</v>
      </c>
      <c r="G702" t="s">
        <v>76</v>
      </c>
      <c r="H702">
        <v>50</v>
      </c>
      <c r="I702" t="s">
        <v>15</v>
      </c>
      <c r="J702" t="s">
        <v>15</v>
      </c>
      <c r="K702" t="s">
        <v>15</v>
      </c>
      <c r="L702" t="s">
        <v>103</v>
      </c>
      <c r="M702" t="s">
        <v>1126</v>
      </c>
      <c r="O702">
        <v>109.17</v>
      </c>
      <c r="GO702">
        <v>1</v>
      </c>
    </row>
    <row r="703" spans="1:225" x14ac:dyDescent="0.25">
      <c r="A703" t="s">
        <v>74</v>
      </c>
      <c r="B703" t="s">
        <v>54</v>
      </c>
      <c r="C703" s="3">
        <v>24.6</v>
      </c>
      <c r="D703" s="3">
        <v>118.05</v>
      </c>
      <c r="E703" t="s">
        <v>12</v>
      </c>
      <c r="F703" t="s">
        <v>77</v>
      </c>
      <c r="G703" t="s">
        <v>76</v>
      </c>
      <c r="H703">
        <v>50</v>
      </c>
      <c r="I703" t="s">
        <v>15</v>
      </c>
      <c r="J703" t="s">
        <v>15</v>
      </c>
      <c r="K703" t="s">
        <v>15</v>
      </c>
      <c r="L703" t="s">
        <v>103</v>
      </c>
      <c r="M703" t="s">
        <v>1126</v>
      </c>
      <c r="O703">
        <v>108.16</v>
      </c>
      <c r="GP703">
        <v>1</v>
      </c>
    </row>
    <row r="704" spans="1:225" x14ac:dyDescent="0.25">
      <c r="A704" t="s">
        <v>74</v>
      </c>
      <c r="B704" t="s">
        <v>54</v>
      </c>
      <c r="C704" s="3">
        <v>24.6</v>
      </c>
      <c r="D704" s="3">
        <v>118.05</v>
      </c>
      <c r="E704" t="s">
        <v>12</v>
      </c>
      <c r="F704" t="s">
        <v>77</v>
      </c>
      <c r="G704" t="s">
        <v>76</v>
      </c>
      <c r="H704">
        <v>50</v>
      </c>
      <c r="I704" t="s">
        <v>15</v>
      </c>
      <c r="J704" t="s">
        <v>15</v>
      </c>
      <c r="K704" t="s">
        <v>15</v>
      </c>
      <c r="L704" t="s">
        <v>103</v>
      </c>
      <c r="M704" t="s">
        <v>1126</v>
      </c>
      <c r="O704">
        <v>109.39</v>
      </c>
      <c r="GQ704">
        <v>1</v>
      </c>
    </row>
    <row r="705" spans="1:202" x14ac:dyDescent="0.25">
      <c r="A705" t="s">
        <v>74</v>
      </c>
      <c r="B705" t="s">
        <v>54</v>
      </c>
      <c r="C705" s="3">
        <v>24.6</v>
      </c>
      <c r="D705" s="3">
        <v>118.05</v>
      </c>
      <c r="E705" t="s">
        <v>12</v>
      </c>
      <c r="F705" t="s">
        <v>77</v>
      </c>
      <c r="G705" t="s">
        <v>76</v>
      </c>
      <c r="H705">
        <v>50</v>
      </c>
      <c r="I705" t="s">
        <v>15</v>
      </c>
      <c r="J705" t="s">
        <v>15</v>
      </c>
      <c r="K705" t="s">
        <v>15</v>
      </c>
      <c r="L705" t="s">
        <v>103</v>
      </c>
      <c r="M705" t="s">
        <v>1126</v>
      </c>
      <c r="O705">
        <v>99.16</v>
      </c>
      <c r="GR705">
        <v>1</v>
      </c>
    </row>
    <row r="706" spans="1:202" x14ac:dyDescent="0.25">
      <c r="A706" t="s">
        <v>74</v>
      </c>
      <c r="B706" t="s">
        <v>54</v>
      </c>
      <c r="C706" s="3">
        <v>24.6</v>
      </c>
      <c r="D706" s="3">
        <v>118.05</v>
      </c>
      <c r="E706" t="s">
        <v>12</v>
      </c>
      <c r="F706" t="s">
        <v>77</v>
      </c>
      <c r="G706" t="s">
        <v>76</v>
      </c>
      <c r="H706">
        <v>50</v>
      </c>
      <c r="I706" t="s">
        <v>15</v>
      </c>
      <c r="J706" t="s">
        <v>15</v>
      </c>
      <c r="K706" t="s">
        <v>15</v>
      </c>
      <c r="L706" t="s">
        <v>103</v>
      </c>
      <c r="M706" t="s">
        <v>1126</v>
      </c>
      <c r="O706">
        <v>92.67</v>
      </c>
      <c r="GS706">
        <v>1</v>
      </c>
    </row>
    <row r="707" spans="1:202" x14ac:dyDescent="0.25">
      <c r="A707" t="s">
        <v>74</v>
      </c>
      <c r="B707" t="s">
        <v>54</v>
      </c>
      <c r="C707" s="3">
        <v>24.6</v>
      </c>
      <c r="D707" s="3">
        <v>118.05</v>
      </c>
      <c r="E707" t="s">
        <v>12</v>
      </c>
      <c r="F707" t="s">
        <v>77</v>
      </c>
      <c r="G707" t="s">
        <v>76</v>
      </c>
      <c r="H707">
        <v>50</v>
      </c>
      <c r="I707" t="s">
        <v>15</v>
      </c>
      <c r="J707" t="s">
        <v>15</v>
      </c>
      <c r="K707" t="s">
        <v>15</v>
      </c>
      <c r="L707" t="s">
        <v>103</v>
      </c>
      <c r="M707" t="s">
        <v>1126</v>
      </c>
      <c r="O707">
        <v>77.33</v>
      </c>
      <c r="GT707">
        <v>1</v>
      </c>
    </row>
    <row r="708" spans="1:202" x14ac:dyDescent="0.25">
      <c r="A708" t="s">
        <v>74</v>
      </c>
      <c r="B708" t="s">
        <v>54</v>
      </c>
      <c r="C708" s="3">
        <v>24.49</v>
      </c>
      <c r="D708" s="3">
        <v>118.02500000000001</v>
      </c>
      <c r="E708" t="s">
        <v>12</v>
      </c>
      <c r="F708" t="s">
        <v>22</v>
      </c>
      <c r="G708" t="s">
        <v>76</v>
      </c>
      <c r="H708">
        <v>50</v>
      </c>
      <c r="I708" t="s">
        <v>15</v>
      </c>
      <c r="J708" t="s">
        <v>12</v>
      </c>
      <c r="K708" t="s">
        <v>12</v>
      </c>
      <c r="L708" t="s">
        <v>101</v>
      </c>
      <c r="M708" t="s">
        <v>1130</v>
      </c>
      <c r="O708">
        <v>75.37</v>
      </c>
      <c r="P708">
        <v>8.1199999999999992</v>
      </c>
      <c r="GF708">
        <v>0.5</v>
      </c>
    </row>
    <row r="709" spans="1:202" x14ac:dyDescent="0.25">
      <c r="A709" t="s">
        <v>74</v>
      </c>
      <c r="B709" t="s">
        <v>54</v>
      </c>
      <c r="C709" s="3">
        <v>24.49</v>
      </c>
      <c r="D709" s="3">
        <v>118.02500000000001</v>
      </c>
      <c r="E709" t="s">
        <v>12</v>
      </c>
      <c r="F709" t="s">
        <v>22</v>
      </c>
      <c r="G709" t="s">
        <v>76</v>
      </c>
      <c r="H709">
        <v>50</v>
      </c>
      <c r="I709" t="s">
        <v>15</v>
      </c>
      <c r="J709" t="s">
        <v>12</v>
      </c>
      <c r="K709" t="s">
        <v>12</v>
      </c>
      <c r="L709" t="s">
        <v>101</v>
      </c>
      <c r="M709" t="s">
        <v>1130</v>
      </c>
      <c r="O709">
        <v>38.76</v>
      </c>
      <c r="P709">
        <v>6.32</v>
      </c>
      <c r="GI709">
        <v>0.5</v>
      </c>
    </row>
    <row r="710" spans="1:202" x14ac:dyDescent="0.25">
      <c r="A710" t="s">
        <v>74</v>
      </c>
      <c r="B710" t="s">
        <v>54</v>
      </c>
      <c r="C710" s="3">
        <v>24.49</v>
      </c>
      <c r="D710" s="3">
        <v>118.02500000000001</v>
      </c>
      <c r="E710" t="s">
        <v>12</v>
      </c>
      <c r="F710" t="s">
        <v>22</v>
      </c>
      <c r="G710" t="s">
        <v>76</v>
      </c>
      <c r="H710">
        <v>50</v>
      </c>
      <c r="I710" t="s">
        <v>15</v>
      </c>
      <c r="J710" t="s">
        <v>12</v>
      </c>
      <c r="K710" t="s">
        <v>12</v>
      </c>
      <c r="L710" t="s">
        <v>101</v>
      </c>
      <c r="M710" t="s">
        <v>1130</v>
      </c>
      <c r="O710">
        <v>83.33</v>
      </c>
      <c r="P710">
        <v>7.02</v>
      </c>
      <c r="GL710">
        <v>0.5</v>
      </c>
    </row>
    <row r="711" spans="1:202" x14ac:dyDescent="0.25">
      <c r="A711" t="s">
        <v>74</v>
      </c>
      <c r="B711" t="s">
        <v>54</v>
      </c>
      <c r="C711" s="3">
        <v>24.49</v>
      </c>
      <c r="D711" s="3">
        <v>118.02500000000001</v>
      </c>
      <c r="E711" t="s">
        <v>12</v>
      </c>
      <c r="F711" t="s">
        <v>22</v>
      </c>
      <c r="G711" t="s">
        <v>76</v>
      </c>
      <c r="H711">
        <v>50</v>
      </c>
      <c r="I711" t="s">
        <v>15</v>
      </c>
      <c r="J711" t="s">
        <v>12</v>
      </c>
      <c r="K711" t="s">
        <v>12</v>
      </c>
      <c r="L711" t="s">
        <v>101</v>
      </c>
      <c r="M711" t="s">
        <v>1130</v>
      </c>
      <c r="O711">
        <v>101.73</v>
      </c>
      <c r="P711">
        <v>9.92</v>
      </c>
      <c r="GO711">
        <v>0.5</v>
      </c>
    </row>
    <row r="712" spans="1:202" x14ac:dyDescent="0.25">
      <c r="A712" t="s">
        <v>74</v>
      </c>
      <c r="B712" t="s">
        <v>54</v>
      </c>
      <c r="C712" s="3">
        <v>24.62</v>
      </c>
      <c r="D712" s="3">
        <v>118.063</v>
      </c>
      <c r="E712" t="s">
        <v>12</v>
      </c>
      <c r="F712" t="s">
        <v>21</v>
      </c>
      <c r="G712" t="s">
        <v>76</v>
      </c>
      <c r="H712">
        <v>50</v>
      </c>
      <c r="I712" t="s">
        <v>15</v>
      </c>
      <c r="J712" t="s">
        <v>12</v>
      </c>
      <c r="K712" t="s">
        <v>12</v>
      </c>
      <c r="L712" t="s">
        <v>101</v>
      </c>
      <c r="M712" t="s">
        <v>1130</v>
      </c>
      <c r="O712">
        <v>54.04</v>
      </c>
      <c r="P712">
        <v>6.78</v>
      </c>
      <c r="GF712">
        <v>0.5</v>
      </c>
    </row>
    <row r="713" spans="1:202" x14ac:dyDescent="0.25">
      <c r="A713" t="s">
        <v>74</v>
      </c>
      <c r="B713" t="s">
        <v>54</v>
      </c>
      <c r="C713" s="3">
        <v>24.62</v>
      </c>
      <c r="D713" s="3">
        <v>118.063</v>
      </c>
      <c r="E713" t="s">
        <v>12</v>
      </c>
      <c r="F713" t="s">
        <v>21</v>
      </c>
      <c r="G713" t="s">
        <v>76</v>
      </c>
      <c r="H713">
        <v>50</v>
      </c>
      <c r="I713" t="s">
        <v>15</v>
      </c>
      <c r="J713" t="s">
        <v>12</v>
      </c>
      <c r="K713" t="s">
        <v>12</v>
      </c>
      <c r="L713" t="s">
        <v>101</v>
      </c>
      <c r="M713" t="s">
        <v>1130</v>
      </c>
      <c r="O713">
        <v>38.11</v>
      </c>
      <c r="P713">
        <v>4.68</v>
      </c>
      <c r="GI713">
        <v>0.5</v>
      </c>
    </row>
    <row r="714" spans="1:202" x14ac:dyDescent="0.25">
      <c r="A714" t="s">
        <v>74</v>
      </c>
      <c r="B714" t="s">
        <v>54</v>
      </c>
      <c r="C714" s="3">
        <v>24.62</v>
      </c>
      <c r="D714" s="3">
        <v>118.063</v>
      </c>
      <c r="E714" t="s">
        <v>12</v>
      </c>
      <c r="F714" t="s">
        <v>21</v>
      </c>
      <c r="G714" t="s">
        <v>76</v>
      </c>
      <c r="H714">
        <v>50</v>
      </c>
      <c r="I714" t="s">
        <v>15</v>
      </c>
      <c r="J714" t="s">
        <v>12</v>
      </c>
      <c r="K714" t="s">
        <v>12</v>
      </c>
      <c r="L714" t="s">
        <v>101</v>
      </c>
      <c r="M714" t="s">
        <v>1130</v>
      </c>
      <c r="O714">
        <v>63.44</v>
      </c>
      <c r="P714">
        <v>8.56</v>
      </c>
      <c r="GL714">
        <v>0.5</v>
      </c>
    </row>
    <row r="715" spans="1:202" x14ac:dyDescent="0.25">
      <c r="A715" t="s">
        <v>74</v>
      </c>
      <c r="B715" t="s">
        <v>54</v>
      </c>
      <c r="C715" s="3">
        <v>24.62</v>
      </c>
      <c r="D715" s="3">
        <v>118.063</v>
      </c>
      <c r="E715" t="s">
        <v>12</v>
      </c>
      <c r="F715" t="s">
        <v>21</v>
      </c>
      <c r="G715" t="s">
        <v>76</v>
      </c>
      <c r="H715">
        <v>50</v>
      </c>
      <c r="I715" t="s">
        <v>15</v>
      </c>
      <c r="J715" t="s">
        <v>12</v>
      </c>
      <c r="K715" t="s">
        <v>12</v>
      </c>
      <c r="L715" t="s">
        <v>101</v>
      </c>
      <c r="M715" t="s">
        <v>1130</v>
      </c>
      <c r="O715">
        <v>99.92</v>
      </c>
      <c r="P715">
        <v>26.2</v>
      </c>
      <c r="GO715">
        <v>0.5</v>
      </c>
    </row>
    <row r="716" spans="1:202" x14ac:dyDescent="0.25">
      <c r="A716" t="s">
        <v>74</v>
      </c>
      <c r="B716" t="s">
        <v>54</v>
      </c>
      <c r="C716" s="3">
        <v>24.49</v>
      </c>
      <c r="D716" s="3">
        <v>118.11</v>
      </c>
      <c r="E716" t="s">
        <v>12</v>
      </c>
      <c r="F716" t="s">
        <v>77</v>
      </c>
      <c r="G716" t="s">
        <v>76</v>
      </c>
      <c r="H716">
        <v>50</v>
      </c>
      <c r="I716" t="s">
        <v>15</v>
      </c>
      <c r="J716" t="s">
        <v>12</v>
      </c>
      <c r="K716" t="s">
        <v>12</v>
      </c>
      <c r="L716" t="s">
        <v>101</v>
      </c>
      <c r="M716" t="s">
        <v>1130</v>
      </c>
      <c r="O716">
        <v>64.41</v>
      </c>
      <c r="P716">
        <v>4.7699999999999996</v>
      </c>
      <c r="GF716">
        <v>0.5</v>
      </c>
    </row>
    <row r="717" spans="1:202" x14ac:dyDescent="0.25">
      <c r="A717" t="s">
        <v>74</v>
      </c>
      <c r="B717" t="s">
        <v>54</v>
      </c>
      <c r="C717" s="3">
        <v>24.49</v>
      </c>
      <c r="D717" s="3">
        <v>118.11</v>
      </c>
      <c r="E717" t="s">
        <v>12</v>
      </c>
      <c r="F717" t="s">
        <v>77</v>
      </c>
      <c r="G717" t="s">
        <v>76</v>
      </c>
      <c r="H717">
        <v>50</v>
      </c>
      <c r="I717" t="s">
        <v>15</v>
      </c>
      <c r="J717" t="s">
        <v>12</v>
      </c>
      <c r="K717" t="s">
        <v>12</v>
      </c>
      <c r="L717" t="s">
        <v>101</v>
      </c>
      <c r="M717" t="s">
        <v>1130</v>
      </c>
      <c r="O717">
        <v>34.26</v>
      </c>
      <c r="P717">
        <v>5.17</v>
      </c>
      <c r="GI717">
        <v>0.5</v>
      </c>
    </row>
    <row r="718" spans="1:202" x14ac:dyDescent="0.25">
      <c r="A718" t="s">
        <v>74</v>
      </c>
      <c r="B718" t="s">
        <v>54</v>
      </c>
      <c r="C718" s="3">
        <v>24.49</v>
      </c>
      <c r="D718" s="3">
        <v>118.11</v>
      </c>
      <c r="E718" t="s">
        <v>12</v>
      </c>
      <c r="F718" t="s">
        <v>77</v>
      </c>
      <c r="G718" t="s">
        <v>76</v>
      </c>
      <c r="H718">
        <v>50</v>
      </c>
      <c r="I718" t="s">
        <v>15</v>
      </c>
      <c r="J718" t="s">
        <v>12</v>
      </c>
      <c r="K718" t="s">
        <v>12</v>
      </c>
      <c r="L718" t="s">
        <v>101</v>
      </c>
      <c r="M718" t="s">
        <v>1130</v>
      </c>
      <c r="O718">
        <v>80.62</v>
      </c>
      <c r="P718">
        <v>9.5500000000000007</v>
      </c>
      <c r="GL718">
        <v>0.5</v>
      </c>
    </row>
    <row r="719" spans="1:202" x14ac:dyDescent="0.25">
      <c r="A719" t="s">
        <v>74</v>
      </c>
      <c r="B719" t="s">
        <v>54</v>
      </c>
      <c r="C719" s="3">
        <v>24.49</v>
      </c>
      <c r="D719" s="3">
        <v>118.11</v>
      </c>
      <c r="E719" t="s">
        <v>12</v>
      </c>
      <c r="F719" t="s">
        <v>77</v>
      </c>
      <c r="G719" t="s">
        <v>76</v>
      </c>
      <c r="H719">
        <v>50</v>
      </c>
      <c r="I719" t="s">
        <v>15</v>
      </c>
      <c r="J719" t="s">
        <v>12</v>
      </c>
      <c r="K719" t="s">
        <v>12</v>
      </c>
      <c r="L719" t="s">
        <v>101</v>
      </c>
      <c r="M719" t="s">
        <v>1130</v>
      </c>
      <c r="O719">
        <v>117.08</v>
      </c>
      <c r="P719">
        <v>10.119999999999999</v>
      </c>
      <c r="GO719">
        <v>0.5</v>
      </c>
    </row>
    <row r="720" spans="1:202" x14ac:dyDescent="0.25">
      <c r="A720" t="s">
        <v>74</v>
      </c>
      <c r="B720" t="s">
        <v>54</v>
      </c>
      <c r="C720" s="3">
        <f>24+(49+36+29+29+26)/5/60</f>
        <v>24.563333333333333</v>
      </c>
      <c r="D720" s="3">
        <f>118+(9+3+2+6+5)/5/60</f>
        <v>118.08333333333333</v>
      </c>
      <c r="E720" t="s">
        <v>15</v>
      </c>
      <c r="F720" t="s">
        <v>8</v>
      </c>
      <c r="G720" t="s">
        <v>76</v>
      </c>
      <c r="H720">
        <v>50</v>
      </c>
      <c r="I720" t="s">
        <v>12</v>
      </c>
      <c r="J720" t="s">
        <v>15</v>
      </c>
      <c r="K720" t="s">
        <v>15</v>
      </c>
      <c r="L720" t="s">
        <v>75</v>
      </c>
      <c r="M720" t="s">
        <v>1135</v>
      </c>
      <c r="N720" t="s">
        <v>72</v>
      </c>
      <c r="O720">
        <f>((0.95+1.54+2.13+2.74+0.5*1.84)+(1.26+2.17+2.5+2.79+0.5*2.2)+(2.47+0.5+3.04+4.8+0.5*3)+(3.58+4.54+5.53+6.54+0.5*5.94)+(2.14+4.18+4.96+4.95+0.5*4.26))/5</f>
        <v>14.386000000000001</v>
      </c>
      <c r="GF720">
        <v>1</v>
      </c>
    </row>
    <row r="721" spans="1:191" x14ac:dyDescent="0.25">
      <c r="A721" t="s">
        <v>74</v>
      </c>
      <c r="B721" t="s">
        <v>54</v>
      </c>
      <c r="C721" s="3">
        <f>24+(49+36+29+29+26)/5/60</f>
        <v>24.563333333333333</v>
      </c>
      <c r="D721" s="3">
        <f>118+(9+3+2+6+5)/5/60</f>
        <v>118.08333333333333</v>
      </c>
      <c r="E721" t="s">
        <v>15</v>
      </c>
      <c r="F721" t="s">
        <v>8</v>
      </c>
      <c r="G721" t="s">
        <v>76</v>
      </c>
      <c r="H721">
        <v>50</v>
      </c>
      <c r="I721" t="s">
        <v>12</v>
      </c>
      <c r="J721" t="s">
        <v>15</v>
      </c>
      <c r="K721" t="s">
        <v>15</v>
      </c>
      <c r="L721" t="s">
        <v>75</v>
      </c>
      <c r="M721" t="s">
        <v>1135</v>
      </c>
      <c r="N721" t="s">
        <v>72</v>
      </c>
      <c r="O721">
        <f>((0.14+1.07+1.34+1.98+0.5*2.59)+(1.86+2.56+2.44+2.85+0.5*2.46)+(1.77+2.22+1.89+22.8+0.5*2.12)+(1.92+3.8+4.18+3.5+0.5*3.96)+(1.21+2.9+3.59+3.61+0.5*3.88))/5</f>
        <v>15.026999999999997</v>
      </c>
      <c r="GI721">
        <v>1</v>
      </c>
    </row>
    <row r="722" spans="1:191" x14ac:dyDescent="0.25">
      <c r="A722" t="s">
        <v>74</v>
      </c>
      <c r="B722" t="s">
        <v>54</v>
      </c>
      <c r="C722" s="3">
        <f>24+(49+36+29+29+26)/5/60</f>
        <v>24.563333333333333</v>
      </c>
      <c r="D722" s="3">
        <f>118+(9+3+2+6+5)/5/60</f>
        <v>118.08333333333333</v>
      </c>
      <c r="E722" t="s">
        <v>15</v>
      </c>
      <c r="F722" t="s">
        <v>8</v>
      </c>
      <c r="G722" t="s">
        <v>76</v>
      </c>
      <c r="H722">
        <v>50</v>
      </c>
      <c r="I722" t="s">
        <v>12</v>
      </c>
      <c r="J722" t="s">
        <v>15</v>
      </c>
      <c r="K722" t="s">
        <v>15</v>
      </c>
      <c r="L722" t="s">
        <v>75</v>
      </c>
      <c r="M722" t="s">
        <v>1135</v>
      </c>
      <c r="N722" t="s">
        <v>72</v>
      </c>
      <c r="O722">
        <f>((0.61+1.38+2.04+2.48+0.5*2.41)+(1.94+2.5+1.81+3.18+0.5*3.86)+(4.09+5.2+6.38+2.6+0.5*2.59)+(2.95+4.92+8.86+4.92+0.5*0.98)+(2.02+4.51+5.02+4.66+0.5*4.28))/5</f>
        <v>15.825999999999999</v>
      </c>
      <c r="FZ722">
        <v>1</v>
      </c>
    </row>
    <row r="723" spans="1:191" x14ac:dyDescent="0.25">
      <c r="A723" t="s">
        <v>74</v>
      </c>
      <c r="B723" t="s">
        <v>54</v>
      </c>
      <c r="C723" s="3">
        <f>24+(49+36+29+29+26)/5/60</f>
        <v>24.563333333333333</v>
      </c>
      <c r="D723" s="3">
        <f>118+(9+3+2+6+5)/5/60</f>
        <v>118.08333333333333</v>
      </c>
      <c r="E723" t="s">
        <v>15</v>
      </c>
      <c r="F723" t="s">
        <v>8</v>
      </c>
      <c r="G723" t="s">
        <v>76</v>
      </c>
      <c r="H723">
        <v>50</v>
      </c>
      <c r="I723" t="s">
        <v>12</v>
      </c>
      <c r="J723" t="s">
        <v>15</v>
      </c>
      <c r="K723" t="s">
        <v>15</v>
      </c>
      <c r="L723" t="s">
        <v>75</v>
      </c>
      <c r="M723" t="s">
        <v>1135</v>
      </c>
      <c r="N723" t="s">
        <v>72</v>
      </c>
      <c r="O723">
        <f>((1.01+1.5+2.68+2.86+0.5*2.69)+(2.9+1.84+1.86+2.6+0.5*2.15)+(4.38+5.62+6.91+5.56+0.5*6.37)+(3.7+7.63+3.56+3.58+0.5*4.06)+(5.35+5.58+8.25+6.36+0.5*5.94))/5</f>
        <v>18.867000000000001</v>
      </c>
      <c r="GB723">
        <v>0.5</v>
      </c>
      <c r="GC723">
        <v>0.5</v>
      </c>
    </row>
    <row r="724" spans="1:191" x14ac:dyDescent="0.25">
      <c r="A724" t="s">
        <v>273</v>
      </c>
      <c r="B724" t="s">
        <v>54</v>
      </c>
      <c r="C724" s="3">
        <v>34.200000000000003</v>
      </c>
      <c r="D724" s="3">
        <v>108.9</v>
      </c>
      <c r="E724" t="s">
        <v>15</v>
      </c>
      <c r="F724" t="s">
        <v>77</v>
      </c>
      <c r="G724" t="s">
        <v>716</v>
      </c>
      <c r="I724" t="s">
        <v>15</v>
      </c>
      <c r="J724" t="s">
        <v>12</v>
      </c>
      <c r="K724" t="s">
        <v>12</v>
      </c>
      <c r="L724" t="s">
        <v>761</v>
      </c>
      <c r="M724" t="s">
        <v>819</v>
      </c>
      <c r="O724">
        <v>375.2</v>
      </c>
      <c r="P724">
        <v>143.5</v>
      </c>
      <c r="DI724">
        <v>1</v>
      </c>
    </row>
    <row r="725" spans="1:191" x14ac:dyDescent="0.25">
      <c r="A725" t="s">
        <v>273</v>
      </c>
      <c r="B725" t="s">
        <v>54</v>
      </c>
      <c r="C725" s="3">
        <v>34.200000000000003</v>
      </c>
      <c r="D725" s="3">
        <v>108.9</v>
      </c>
      <c r="E725" t="s">
        <v>15</v>
      </c>
      <c r="F725" t="s">
        <v>77</v>
      </c>
      <c r="G725" t="s">
        <v>716</v>
      </c>
      <c r="I725" t="s">
        <v>15</v>
      </c>
      <c r="J725" t="s">
        <v>12</v>
      </c>
      <c r="K725" t="s">
        <v>12</v>
      </c>
      <c r="L725" t="s">
        <v>761</v>
      </c>
      <c r="M725" t="s">
        <v>819</v>
      </c>
      <c r="O725">
        <v>130.80000000000001</v>
      </c>
      <c r="P725">
        <v>58.5</v>
      </c>
      <c r="DN725">
        <v>1</v>
      </c>
      <c r="DO725">
        <v>1</v>
      </c>
    </row>
    <row r="726" spans="1:191" x14ac:dyDescent="0.25">
      <c r="A726" t="s">
        <v>273</v>
      </c>
      <c r="B726" t="s">
        <v>54</v>
      </c>
      <c r="C726" s="3">
        <v>34.24</v>
      </c>
      <c r="D726" s="3">
        <v>108.99</v>
      </c>
      <c r="E726" t="s">
        <v>34</v>
      </c>
      <c r="F726" t="s">
        <v>77</v>
      </c>
      <c r="G726" t="s">
        <v>106</v>
      </c>
      <c r="I726" t="s">
        <v>12</v>
      </c>
      <c r="J726" t="s">
        <v>15</v>
      </c>
      <c r="K726" t="s">
        <v>15</v>
      </c>
      <c r="L726" t="s">
        <v>274</v>
      </c>
      <c r="M726" t="s">
        <v>1054</v>
      </c>
      <c r="N726" t="s">
        <v>275</v>
      </c>
      <c r="O726">
        <v>130</v>
      </c>
      <c r="P726">
        <v>63.9</v>
      </c>
      <c r="FB726">
        <v>1</v>
      </c>
      <c r="FC726">
        <v>1</v>
      </c>
      <c r="FD726">
        <v>1</v>
      </c>
      <c r="FE726">
        <v>1</v>
      </c>
      <c r="FF726">
        <v>1</v>
      </c>
      <c r="FG726">
        <v>1</v>
      </c>
      <c r="FH726">
        <v>1</v>
      </c>
      <c r="FI726">
        <v>1</v>
      </c>
      <c r="FJ726">
        <v>1</v>
      </c>
      <c r="FK726">
        <v>1</v>
      </c>
      <c r="FL726">
        <v>1</v>
      </c>
      <c r="FM726">
        <v>1</v>
      </c>
    </row>
    <row r="727" spans="1:191" x14ac:dyDescent="0.25">
      <c r="A727" t="s">
        <v>57</v>
      </c>
      <c r="B727" t="s">
        <v>54</v>
      </c>
      <c r="C727" s="3">
        <v>31.59</v>
      </c>
      <c r="D727" s="3">
        <v>120.05</v>
      </c>
      <c r="E727" t="s">
        <v>12</v>
      </c>
      <c r="F727" t="s">
        <v>20</v>
      </c>
      <c r="G727" t="s">
        <v>59</v>
      </c>
      <c r="I727" t="s">
        <v>12</v>
      </c>
      <c r="J727" t="s">
        <v>12</v>
      </c>
      <c r="K727" t="s">
        <v>15</v>
      </c>
      <c r="L727" t="s">
        <v>1139</v>
      </c>
      <c r="M727" t="s">
        <v>1138</v>
      </c>
      <c r="O727">
        <v>144.38</v>
      </c>
      <c r="P727">
        <v>39.43</v>
      </c>
      <c r="DC727">
        <v>0.5</v>
      </c>
      <c r="DD727">
        <v>1</v>
      </c>
      <c r="DE727">
        <v>0.5</v>
      </c>
    </row>
    <row r="728" spans="1:191" x14ac:dyDescent="0.25">
      <c r="A728" t="s">
        <v>57</v>
      </c>
      <c r="B728" t="s">
        <v>54</v>
      </c>
      <c r="C728" s="3">
        <v>31.59</v>
      </c>
      <c r="D728" s="3">
        <v>120.05</v>
      </c>
      <c r="E728" t="s">
        <v>12</v>
      </c>
      <c r="F728" t="s">
        <v>20</v>
      </c>
      <c r="G728" t="s">
        <v>59</v>
      </c>
      <c r="I728" t="s">
        <v>12</v>
      </c>
      <c r="J728" t="s">
        <v>12</v>
      </c>
      <c r="K728" t="s">
        <v>15</v>
      </c>
      <c r="L728" t="s">
        <v>1139</v>
      </c>
      <c r="M728" t="s">
        <v>1138</v>
      </c>
      <c r="O728">
        <v>119.91</v>
      </c>
      <c r="P728">
        <v>41.46</v>
      </c>
      <c r="DE728">
        <v>0.5</v>
      </c>
      <c r="DF728">
        <v>1</v>
      </c>
      <c r="DG728">
        <v>0.5</v>
      </c>
    </row>
    <row r="729" spans="1:191" x14ac:dyDescent="0.25">
      <c r="A729" t="s">
        <v>57</v>
      </c>
      <c r="B729" t="s">
        <v>54</v>
      </c>
      <c r="C729" s="3">
        <v>31.59</v>
      </c>
      <c r="D729" s="3">
        <v>120.05</v>
      </c>
      <c r="E729" t="s">
        <v>12</v>
      </c>
      <c r="F729" t="s">
        <v>20</v>
      </c>
      <c r="G729" t="s">
        <v>59</v>
      </c>
      <c r="I729" t="s">
        <v>12</v>
      </c>
      <c r="J729" t="s">
        <v>12</v>
      </c>
      <c r="K729" t="s">
        <v>15</v>
      </c>
      <c r="L729" t="s">
        <v>1139</v>
      </c>
      <c r="M729" t="s">
        <v>1138</v>
      </c>
      <c r="O729">
        <v>151.68</v>
      </c>
      <c r="P729">
        <v>69.42</v>
      </c>
      <c r="DG729">
        <v>0.5</v>
      </c>
      <c r="DH729">
        <v>1</v>
      </c>
      <c r="DI729">
        <v>0.5</v>
      </c>
    </row>
    <row r="730" spans="1:191" x14ac:dyDescent="0.25">
      <c r="A730" t="s">
        <v>139</v>
      </c>
      <c r="B730" t="s">
        <v>54</v>
      </c>
      <c r="C730" s="3">
        <v>38.299999999999997</v>
      </c>
      <c r="D730" s="3">
        <v>109.8</v>
      </c>
      <c r="E730" t="s">
        <v>15</v>
      </c>
      <c r="F730" t="s">
        <v>77</v>
      </c>
      <c r="G730" t="s">
        <v>716</v>
      </c>
      <c r="I730" t="s">
        <v>15</v>
      </c>
      <c r="J730" t="s">
        <v>12</v>
      </c>
      <c r="K730" t="s">
        <v>12</v>
      </c>
      <c r="L730" t="s">
        <v>761</v>
      </c>
      <c r="M730" t="s">
        <v>819</v>
      </c>
      <c r="O730">
        <v>150.6</v>
      </c>
      <c r="P730">
        <v>77.3</v>
      </c>
      <c r="DI730">
        <v>1</v>
      </c>
    </row>
    <row r="731" spans="1:191" x14ac:dyDescent="0.25">
      <c r="A731" t="s">
        <v>139</v>
      </c>
      <c r="B731" t="s">
        <v>54</v>
      </c>
      <c r="C731" s="3">
        <v>38.299999999999997</v>
      </c>
      <c r="D731" s="3">
        <v>109.8</v>
      </c>
      <c r="E731" t="s">
        <v>15</v>
      </c>
      <c r="F731" t="s">
        <v>77</v>
      </c>
      <c r="G731" t="s">
        <v>716</v>
      </c>
      <c r="I731" t="s">
        <v>15</v>
      </c>
      <c r="J731" t="s">
        <v>12</v>
      </c>
      <c r="K731" t="s">
        <v>12</v>
      </c>
      <c r="L731" t="s">
        <v>761</v>
      </c>
      <c r="M731" t="s">
        <v>819</v>
      </c>
      <c r="O731">
        <v>50.5</v>
      </c>
      <c r="P731">
        <v>23.2</v>
      </c>
      <c r="DN731">
        <v>1</v>
      </c>
      <c r="DO731">
        <v>1</v>
      </c>
    </row>
    <row r="732" spans="1:191" x14ac:dyDescent="0.25">
      <c r="A732" t="s">
        <v>139</v>
      </c>
      <c r="B732" t="s">
        <v>54</v>
      </c>
      <c r="C732" s="3">
        <v>38.270000000000003</v>
      </c>
      <c r="D732" s="3">
        <v>109.73</v>
      </c>
      <c r="E732" t="s">
        <v>12</v>
      </c>
      <c r="F732" t="s">
        <v>19</v>
      </c>
      <c r="G732" t="s">
        <v>106</v>
      </c>
      <c r="H732">
        <v>40</v>
      </c>
      <c r="I732" t="s">
        <v>12</v>
      </c>
      <c r="J732" t="s">
        <v>15</v>
      </c>
      <c r="K732" t="s">
        <v>12</v>
      </c>
      <c r="L732" t="s">
        <v>665</v>
      </c>
      <c r="M732" t="s">
        <v>854</v>
      </c>
      <c r="O732">
        <v>83</v>
      </c>
      <c r="FG732">
        <v>0.5</v>
      </c>
      <c r="FH732">
        <v>1</v>
      </c>
    </row>
    <row r="733" spans="1:191" x14ac:dyDescent="0.25">
      <c r="A733" t="s">
        <v>139</v>
      </c>
      <c r="B733" t="s">
        <v>54</v>
      </c>
      <c r="C733" s="3">
        <f>38+20/60</f>
        <v>38.333333333333336</v>
      </c>
      <c r="D733" s="3">
        <f>109+43/60</f>
        <v>109.71666666666667</v>
      </c>
      <c r="E733" t="s">
        <v>15</v>
      </c>
      <c r="F733" t="s">
        <v>20</v>
      </c>
      <c r="G733" t="s">
        <v>106</v>
      </c>
      <c r="H733">
        <v>35</v>
      </c>
      <c r="I733" t="s">
        <v>15</v>
      </c>
      <c r="J733" t="s">
        <v>15</v>
      </c>
      <c r="K733" t="s">
        <v>15</v>
      </c>
      <c r="L733" t="s">
        <v>138</v>
      </c>
      <c r="M733" t="s">
        <v>1110</v>
      </c>
      <c r="N733" t="s">
        <v>140</v>
      </c>
      <c r="O733">
        <v>96</v>
      </c>
      <c r="P733">
        <v>107</v>
      </c>
      <c r="CN733">
        <v>1</v>
      </c>
      <c r="CO733">
        <v>1</v>
      </c>
    </row>
    <row r="734" spans="1:191" x14ac:dyDescent="0.25">
      <c r="A734" t="s">
        <v>674</v>
      </c>
      <c r="B734" t="s">
        <v>54</v>
      </c>
      <c r="C734" s="3">
        <f t="shared" ref="C734:C745" si="18">43+44/60</f>
        <v>43.733333333333334</v>
      </c>
      <c r="D734" s="3">
        <f t="shared" ref="D734:D745" si="19">111+54/60</f>
        <v>111.9</v>
      </c>
      <c r="E734" t="s">
        <v>15</v>
      </c>
      <c r="F734" t="s">
        <v>20</v>
      </c>
      <c r="G734" t="s">
        <v>673</v>
      </c>
      <c r="I734" t="s">
        <v>12</v>
      </c>
      <c r="J734" t="s">
        <v>12</v>
      </c>
      <c r="K734" t="s">
        <v>12</v>
      </c>
      <c r="L734" t="s">
        <v>675</v>
      </c>
      <c r="M734" t="s">
        <v>852</v>
      </c>
      <c r="O734">
        <v>59</v>
      </c>
      <c r="FQ734">
        <v>1</v>
      </c>
    </row>
    <row r="735" spans="1:191" x14ac:dyDescent="0.25">
      <c r="A735" t="s">
        <v>674</v>
      </c>
      <c r="B735" t="s">
        <v>54</v>
      </c>
      <c r="C735" s="3">
        <f t="shared" si="18"/>
        <v>43.733333333333334</v>
      </c>
      <c r="D735" s="3">
        <f t="shared" si="19"/>
        <v>111.9</v>
      </c>
      <c r="E735" t="s">
        <v>15</v>
      </c>
      <c r="F735" t="s">
        <v>20</v>
      </c>
      <c r="G735" t="s">
        <v>673</v>
      </c>
      <c r="I735" t="s">
        <v>12</v>
      </c>
      <c r="J735" t="s">
        <v>12</v>
      </c>
      <c r="K735" t="s">
        <v>12</v>
      </c>
      <c r="L735" t="s">
        <v>675</v>
      </c>
      <c r="M735" t="s">
        <v>852</v>
      </c>
      <c r="O735">
        <v>35</v>
      </c>
      <c r="FR735">
        <v>1</v>
      </c>
    </row>
    <row r="736" spans="1:191" x14ac:dyDescent="0.25">
      <c r="A736" t="s">
        <v>674</v>
      </c>
      <c r="B736" t="s">
        <v>54</v>
      </c>
      <c r="C736" s="3">
        <f t="shared" si="18"/>
        <v>43.733333333333334</v>
      </c>
      <c r="D736" s="3">
        <f t="shared" si="19"/>
        <v>111.9</v>
      </c>
      <c r="E736" t="s">
        <v>15</v>
      </c>
      <c r="F736" t="s">
        <v>20</v>
      </c>
      <c r="G736" t="s">
        <v>673</v>
      </c>
      <c r="I736" t="s">
        <v>12</v>
      </c>
      <c r="J736" t="s">
        <v>12</v>
      </c>
      <c r="K736" t="s">
        <v>12</v>
      </c>
      <c r="L736" t="s">
        <v>675</v>
      </c>
      <c r="M736" t="s">
        <v>852</v>
      </c>
      <c r="O736">
        <v>51</v>
      </c>
      <c r="FS736">
        <v>1</v>
      </c>
    </row>
    <row r="737" spans="1:216" x14ac:dyDescent="0.25">
      <c r="A737" t="s">
        <v>674</v>
      </c>
      <c r="B737" t="s">
        <v>54</v>
      </c>
      <c r="C737" s="3">
        <f t="shared" si="18"/>
        <v>43.733333333333334</v>
      </c>
      <c r="D737" s="3">
        <f t="shared" si="19"/>
        <v>111.9</v>
      </c>
      <c r="E737" t="s">
        <v>15</v>
      </c>
      <c r="F737" t="s">
        <v>20</v>
      </c>
      <c r="G737" t="s">
        <v>673</v>
      </c>
      <c r="I737" t="s">
        <v>12</v>
      </c>
      <c r="J737" t="s">
        <v>12</v>
      </c>
      <c r="K737" t="s">
        <v>12</v>
      </c>
      <c r="L737" t="s">
        <v>675</v>
      </c>
      <c r="M737" t="s">
        <v>852</v>
      </c>
      <c r="O737">
        <v>36</v>
      </c>
      <c r="FT737">
        <v>1</v>
      </c>
    </row>
    <row r="738" spans="1:216" x14ac:dyDescent="0.25">
      <c r="A738" t="s">
        <v>674</v>
      </c>
      <c r="B738" t="s">
        <v>54</v>
      </c>
      <c r="C738" s="3">
        <f t="shared" si="18"/>
        <v>43.733333333333334</v>
      </c>
      <c r="D738" s="3">
        <f t="shared" si="19"/>
        <v>111.9</v>
      </c>
      <c r="E738" t="s">
        <v>15</v>
      </c>
      <c r="F738" t="s">
        <v>20</v>
      </c>
      <c r="G738" t="s">
        <v>673</v>
      </c>
      <c r="I738" t="s">
        <v>12</v>
      </c>
      <c r="J738" t="s">
        <v>12</v>
      </c>
      <c r="K738" t="s">
        <v>12</v>
      </c>
      <c r="L738" t="s">
        <v>675</v>
      </c>
      <c r="M738" t="s">
        <v>852</v>
      </c>
      <c r="O738">
        <v>56</v>
      </c>
      <c r="FU738">
        <v>1</v>
      </c>
    </row>
    <row r="739" spans="1:216" x14ac:dyDescent="0.25">
      <c r="A739" t="s">
        <v>674</v>
      </c>
      <c r="B739" t="s">
        <v>54</v>
      </c>
      <c r="C739" s="3">
        <f t="shared" si="18"/>
        <v>43.733333333333334</v>
      </c>
      <c r="D739" s="3">
        <f t="shared" si="19"/>
        <v>111.9</v>
      </c>
      <c r="E739" t="s">
        <v>15</v>
      </c>
      <c r="F739" t="s">
        <v>20</v>
      </c>
      <c r="G739" t="s">
        <v>673</v>
      </c>
      <c r="I739" t="s">
        <v>12</v>
      </c>
      <c r="J739" t="s">
        <v>12</v>
      </c>
      <c r="K739" t="s">
        <v>12</v>
      </c>
      <c r="L739" t="s">
        <v>675</v>
      </c>
      <c r="M739" t="s">
        <v>852</v>
      </c>
      <c r="O739">
        <v>19</v>
      </c>
      <c r="FV739">
        <v>1</v>
      </c>
    </row>
    <row r="740" spans="1:216" x14ac:dyDescent="0.25">
      <c r="A740" t="s">
        <v>674</v>
      </c>
      <c r="B740" t="s">
        <v>54</v>
      </c>
      <c r="C740" s="3">
        <f t="shared" si="18"/>
        <v>43.733333333333334</v>
      </c>
      <c r="D740" s="3">
        <f t="shared" si="19"/>
        <v>111.9</v>
      </c>
      <c r="E740" t="s">
        <v>15</v>
      </c>
      <c r="F740" t="s">
        <v>20</v>
      </c>
      <c r="G740" t="s">
        <v>673</v>
      </c>
      <c r="I740" t="s">
        <v>12</v>
      </c>
      <c r="J740" t="s">
        <v>12</v>
      </c>
      <c r="K740" t="s">
        <v>12</v>
      </c>
      <c r="L740" t="s">
        <v>675</v>
      </c>
      <c r="M740" t="s">
        <v>852</v>
      </c>
      <c r="O740">
        <v>17</v>
      </c>
      <c r="FW740">
        <v>1</v>
      </c>
    </row>
    <row r="741" spans="1:216" x14ac:dyDescent="0.25">
      <c r="A741" t="s">
        <v>674</v>
      </c>
      <c r="B741" t="s">
        <v>54</v>
      </c>
      <c r="C741" s="3">
        <f t="shared" si="18"/>
        <v>43.733333333333334</v>
      </c>
      <c r="D741" s="3">
        <f t="shared" si="19"/>
        <v>111.9</v>
      </c>
      <c r="E741" t="s">
        <v>15</v>
      </c>
      <c r="F741" t="s">
        <v>20</v>
      </c>
      <c r="G741" t="s">
        <v>673</v>
      </c>
      <c r="I741" t="s">
        <v>12</v>
      </c>
      <c r="J741" t="s">
        <v>12</v>
      </c>
      <c r="K741" t="s">
        <v>12</v>
      </c>
      <c r="L741" t="s">
        <v>675</v>
      </c>
      <c r="M741" t="s">
        <v>852</v>
      </c>
      <c r="O741">
        <v>13</v>
      </c>
      <c r="FX741">
        <v>1</v>
      </c>
    </row>
    <row r="742" spans="1:216" x14ac:dyDescent="0.25">
      <c r="A742" t="s">
        <v>674</v>
      </c>
      <c r="B742" t="s">
        <v>54</v>
      </c>
      <c r="C742" s="3">
        <f t="shared" si="18"/>
        <v>43.733333333333334</v>
      </c>
      <c r="D742" s="3">
        <f t="shared" si="19"/>
        <v>111.9</v>
      </c>
      <c r="E742" t="s">
        <v>15</v>
      </c>
      <c r="F742" t="s">
        <v>20</v>
      </c>
      <c r="G742" t="s">
        <v>673</v>
      </c>
      <c r="I742" t="s">
        <v>12</v>
      </c>
      <c r="J742" t="s">
        <v>12</v>
      </c>
      <c r="K742" t="s">
        <v>12</v>
      </c>
      <c r="L742" t="s">
        <v>675</v>
      </c>
      <c r="M742" t="s">
        <v>852</v>
      </c>
      <c r="O742">
        <v>13</v>
      </c>
      <c r="FY742">
        <v>1</v>
      </c>
    </row>
    <row r="743" spans="1:216" x14ac:dyDescent="0.25">
      <c r="A743" t="s">
        <v>674</v>
      </c>
      <c r="B743" t="s">
        <v>54</v>
      </c>
      <c r="C743" s="3">
        <f t="shared" si="18"/>
        <v>43.733333333333334</v>
      </c>
      <c r="D743" s="3">
        <f t="shared" si="19"/>
        <v>111.9</v>
      </c>
      <c r="E743" t="s">
        <v>15</v>
      </c>
      <c r="F743" t="s">
        <v>20</v>
      </c>
      <c r="G743" t="s">
        <v>673</v>
      </c>
      <c r="I743" t="s">
        <v>12</v>
      </c>
      <c r="J743" t="s">
        <v>12</v>
      </c>
      <c r="K743" t="s">
        <v>12</v>
      </c>
      <c r="L743" t="s">
        <v>675</v>
      </c>
      <c r="M743" t="s">
        <v>852</v>
      </c>
      <c r="O743">
        <v>20</v>
      </c>
      <c r="FZ743">
        <v>1</v>
      </c>
    </row>
    <row r="744" spans="1:216" x14ac:dyDescent="0.25">
      <c r="A744" t="s">
        <v>674</v>
      </c>
      <c r="B744" t="s">
        <v>54</v>
      </c>
      <c r="C744" s="3">
        <f t="shared" si="18"/>
        <v>43.733333333333334</v>
      </c>
      <c r="D744" s="3">
        <f t="shared" si="19"/>
        <v>111.9</v>
      </c>
      <c r="E744" t="s">
        <v>15</v>
      </c>
      <c r="F744" t="s">
        <v>20</v>
      </c>
      <c r="G744" t="s">
        <v>673</v>
      </c>
      <c r="I744" t="s">
        <v>12</v>
      </c>
      <c r="J744" t="s">
        <v>12</v>
      </c>
      <c r="K744" t="s">
        <v>12</v>
      </c>
      <c r="L744" t="s">
        <v>675</v>
      </c>
      <c r="M744" t="s">
        <v>852</v>
      </c>
      <c r="O744">
        <v>33</v>
      </c>
      <c r="GA744">
        <v>1</v>
      </c>
    </row>
    <row r="745" spans="1:216" x14ac:dyDescent="0.25">
      <c r="A745" t="s">
        <v>674</v>
      </c>
      <c r="B745" t="s">
        <v>54</v>
      </c>
      <c r="C745" s="3">
        <f t="shared" si="18"/>
        <v>43.733333333333334</v>
      </c>
      <c r="D745" s="3">
        <f t="shared" si="19"/>
        <v>111.9</v>
      </c>
      <c r="E745" t="s">
        <v>15</v>
      </c>
      <c r="F745" t="s">
        <v>20</v>
      </c>
      <c r="G745" t="s">
        <v>673</v>
      </c>
      <c r="I745" t="s">
        <v>12</v>
      </c>
      <c r="J745" t="s">
        <v>12</v>
      </c>
      <c r="K745" t="s">
        <v>12</v>
      </c>
      <c r="L745" t="s">
        <v>675</v>
      </c>
      <c r="M745" t="s">
        <v>852</v>
      </c>
      <c r="O745">
        <v>24</v>
      </c>
      <c r="GB745">
        <v>1</v>
      </c>
    </row>
    <row r="746" spans="1:216" x14ac:dyDescent="0.25">
      <c r="A746" t="s">
        <v>131</v>
      </c>
      <c r="B746" t="s">
        <v>54</v>
      </c>
      <c r="C746" s="3">
        <v>24.508600000000001</v>
      </c>
      <c r="D746" s="3">
        <v>117.7204</v>
      </c>
      <c r="E746" t="s">
        <v>15</v>
      </c>
      <c r="F746" t="s">
        <v>77</v>
      </c>
      <c r="G746" t="s">
        <v>76</v>
      </c>
      <c r="H746">
        <v>52</v>
      </c>
      <c r="I746" t="s">
        <v>15</v>
      </c>
      <c r="J746" t="s">
        <v>12</v>
      </c>
      <c r="K746" t="s">
        <v>12</v>
      </c>
      <c r="L746" t="s">
        <v>400</v>
      </c>
      <c r="M746" t="s">
        <v>997</v>
      </c>
      <c r="O746">
        <v>128.9</v>
      </c>
      <c r="P746">
        <v>20.6</v>
      </c>
      <c r="GY746">
        <v>0.5</v>
      </c>
    </row>
    <row r="747" spans="1:216" x14ac:dyDescent="0.25">
      <c r="A747" t="s">
        <v>131</v>
      </c>
      <c r="B747" t="s">
        <v>54</v>
      </c>
      <c r="C747" s="3">
        <v>24.508600000000001</v>
      </c>
      <c r="D747" s="3">
        <v>117.7204</v>
      </c>
      <c r="E747" t="s">
        <v>15</v>
      </c>
      <c r="F747" t="s">
        <v>77</v>
      </c>
      <c r="G747" t="s">
        <v>76</v>
      </c>
      <c r="H747">
        <v>52</v>
      </c>
      <c r="I747" t="s">
        <v>15</v>
      </c>
      <c r="J747" t="s">
        <v>12</v>
      </c>
      <c r="K747" t="s">
        <v>12</v>
      </c>
      <c r="L747" t="s">
        <v>400</v>
      </c>
      <c r="M747" t="s">
        <v>997</v>
      </c>
      <c r="O747">
        <v>155.30000000000001</v>
      </c>
      <c r="P747">
        <v>29.9</v>
      </c>
      <c r="HA747">
        <v>0.5</v>
      </c>
    </row>
    <row r="748" spans="1:216" x14ac:dyDescent="0.25">
      <c r="A748" t="s">
        <v>131</v>
      </c>
      <c r="B748" t="s">
        <v>54</v>
      </c>
      <c r="C748" s="3">
        <v>24.508600000000001</v>
      </c>
      <c r="D748" s="3">
        <v>117.7204</v>
      </c>
      <c r="E748" t="s">
        <v>15</v>
      </c>
      <c r="F748" t="s">
        <v>77</v>
      </c>
      <c r="G748" t="s">
        <v>76</v>
      </c>
      <c r="H748">
        <v>52</v>
      </c>
      <c r="I748" t="s">
        <v>15</v>
      </c>
      <c r="J748" t="s">
        <v>12</v>
      </c>
      <c r="K748" t="s">
        <v>12</v>
      </c>
      <c r="L748" t="s">
        <v>400</v>
      </c>
      <c r="M748" t="s">
        <v>997</v>
      </c>
      <c r="O748">
        <v>122.4</v>
      </c>
      <c r="P748">
        <v>46.3</v>
      </c>
      <c r="HD748">
        <v>0.5</v>
      </c>
    </row>
    <row r="749" spans="1:216" x14ac:dyDescent="0.25">
      <c r="A749" t="s">
        <v>131</v>
      </c>
      <c r="B749" t="s">
        <v>54</v>
      </c>
      <c r="C749" s="3">
        <v>24.508600000000001</v>
      </c>
      <c r="D749" s="3">
        <v>117.7204</v>
      </c>
      <c r="E749" t="s">
        <v>15</v>
      </c>
      <c r="F749" t="s">
        <v>77</v>
      </c>
      <c r="G749" t="s">
        <v>76</v>
      </c>
      <c r="H749">
        <v>52</v>
      </c>
      <c r="I749" t="s">
        <v>15</v>
      </c>
      <c r="J749" t="s">
        <v>12</v>
      </c>
      <c r="K749" t="s">
        <v>12</v>
      </c>
      <c r="L749" t="s">
        <v>400</v>
      </c>
      <c r="M749" t="s">
        <v>997</v>
      </c>
      <c r="O749">
        <v>85.6</v>
      </c>
      <c r="P749">
        <v>37.700000000000003</v>
      </c>
      <c r="HH749">
        <v>0.5</v>
      </c>
    </row>
    <row r="750" spans="1:216" x14ac:dyDescent="0.25">
      <c r="A750" t="s">
        <v>131</v>
      </c>
      <c r="B750" t="s">
        <v>54</v>
      </c>
      <c r="C750" s="3">
        <v>24.51</v>
      </c>
      <c r="D750" s="3">
        <v>117.66</v>
      </c>
      <c r="E750" t="s">
        <v>12</v>
      </c>
      <c r="F750" t="s">
        <v>22</v>
      </c>
      <c r="G750" t="s">
        <v>106</v>
      </c>
      <c r="H750">
        <v>50</v>
      </c>
      <c r="I750" t="s">
        <v>12</v>
      </c>
      <c r="J750" t="s">
        <v>12</v>
      </c>
      <c r="K750" t="s">
        <v>15</v>
      </c>
      <c r="L750" t="s">
        <v>133</v>
      </c>
      <c r="M750" t="s">
        <v>1111</v>
      </c>
      <c r="O750">
        <v>122.5</v>
      </c>
      <c r="P750">
        <v>19.399999999999999</v>
      </c>
      <c r="HH750">
        <v>0.5</v>
      </c>
    </row>
    <row r="751" spans="1:216" x14ac:dyDescent="0.25">
      <c r="A751" t="s">
        <v>604</v>
      </c>
      <c r="B751" t="s">
        <v>54</v>
      </c>
      <c r="C751" s="3">
        <f>34+48/60</f>
        <v>34.799999999999997</v>
      </c>
      <c r="D751" s="3">
        <f>113+31/60</f>
        <v>113.51666666666667</v>
      </c>
      <c r="E751" t="s">
        <v>15</v>
      </c>
      <c r="F751" t="s">
        <v>22</v>
      </c>
      <c r="G751" t="s">
        <v>76</v>
      </c>
      <c r="I751" t="s">
        <v>15</v>
      </c>
      <c r="J751" t="s">
        <v>15</v>
      </c>
      <c r="K751" t="s">
        <v>15</v>
      </c>
      <c r="L751" t="s">
        <v>605</v>
      </c>
      <c r="M751" t="s">
        <v>876</v>
      </c>
      <c r="O751">
        <v>181</v>
      </c>
      <c r="P751">
        <v>85</v>
      </c>
      <c r="GQ751">
        <v>1</v>
      </c>
      <c r="GR751">
        <v>1</v>
      </c>
      <c r="GS751">
        <v>1</v>
      </c>
    </row>
    <row r="752" spans="1:216" x14ac:dyDescent="0.25">
      <c r="A752" t="s">
        <v>604</v>
      </c>
      <c r="B752" t="s">
        <v>54</v>
      </c>
      <c r="C752" s="3">
        <f>34+48/60</f>
        <v>34.799999999999997</v>
      </c>
      <c r="D752" s="3">
        <f>113+31/60</f>
        <v>113.51666666666667</v>
      </c>
      <c r="E752" t="s">
        <v>15</v>
      </c>
      <c r="F752" t="s">
        <v>22</v>
      </c>
      <c r="G752" t="s">
        <v>76</v>
      </c>
      <c r="I752" t="s">
        <v>15</v>
      </c>
      <c r="J752" t="s">
        <v>15</v>
      </c>
      <c r="K752" t="s">
        <v>15</v>
      </c>
      <c r="L752" t="s">
        <v>605</v>
      </c>
      <c r="M752" t="s">
        <v>876</v>
      </c>
      <c r="O752">
        <v>122</v>
      </c>
      <c r="P752">
        <v>59</v>
      </c>
      <c r="GT752">
        <v>1</v>
      </c>
      <c r="GU752">
        <v>1</v>
      </c>
      <c r="GV752">
        <v>1</v>
      </c>
    </row>
    <row r="753" spans="1:213" x14ac:dyDescent="0.25">
      <c r="A753" t="s">
        <v>604</v>
      </c>
      <c r="B753" t="s">
        <v>54</v>
      </c>
      <c r="C753" s="3">
        <f>34+48/60</f>
        <v>34.799999999999997</v>
      </c>
      <c r="D753" s="3">
        <f>113+31/60</f>
        <v>113.51666666666667</v>
      </c>
      <c r="E753" t="s">
        <v>15</v>
      </c>
      <c r="F753" t="s">
        <v>22</v>
      </c>
      <c r="G753" t="s">
        <v>76</v>
      </c>
      <c r="I753" t="s">
        <v>15</v>
      </c>
      <c r="J753" t="s">
        <v>15</v>
      </c>
      <c r="K753" t="s">
        <v>15</v>
      </c>
      <c r="L753" t="s">
        <v>605</v>
      </c>
      <c r="M753" t="s">
        <v>876</v>
      </c>
      <c r="O753">
        <v>186</v>
      </c>
      <c r="P753">
        <v>40</v>
      </c>
      <c r="GW753">
        <v>1</v>
      </c>
      <c r="GX753">
        <v>1</v>
      </c>
      <c r="GY753">
        <v>1</v>
      </c>
    </row>
    <row r="754" spans="1:213" x14ac:dyDescent="0.25">
      <c r="A754" t="s">
        <v>604</v>
      </c>
      <c r="B754" t="s">
        <v>54</v>
      </c>
      <c r="C754" s="3">
        <f>34+48/60</f>
        <v>34.799999999999997</v>
      </c>
      <c r="D754" s="3">
        <f>113+31/60</f>
        <v>113.51666666666667</v>
      </c>
      <c r="E754" t="s">
        <v>15</v>
      </c>
      <c r="F754" t="s">
        <v>22</v>
      </c>
      <c r="G754" t="s">
        <v>76</v>
      </c>
      <c r="I754" t="s">
        <v>15</v>
      </c>
      <c r="J754" t="s">
        <v>15</v>
      </c>
      <c r="K754" t="s">
        <v>15</v>
      </c>
      <c r="L754" t="s">
        <v>605</v>
      </c>
      <c r="M754" t="s">
        <v>876</v>
      </c>
      <c r="O754">
        <v>211</v>
      </c>
      <c r="P754">
        <v>63</v>
      </c>
      <c r="GO754">
        <v>1</v>
      </c>
      <c r="GP754">
        <v>1</v>
      </c>
      <c r="GZ754">
        <v>1</v>
      </c>
    </row>
    <row r="755" spans="1:213" x14ac:dyDescent="0.25">
      <c r="A755" t="s">
        <v>492</v>
      </c>
      <c r="B755" t="s">
        <v>54</v>
      </c>
      <c r="C755" s="3">
        <v>22.26</v>
      </c>
      <c r="D755" s="3">
        <v>113.54</v>
      </c>
      <c r="E755" t="s">
        <v>12</v>
      </c>
      <c r="F755" t="s">
        <v>77</v>
      </c>
      <c r="G755" t="s">
        <v>76</v>
      </c>
      <c r="I755" t="s">
        <v>12</v>
      </c>
      <c r="J755" t="s">
        <v>15</v>
      </c>
      <c r="K755" t="s">
        <v>12</v>
      </c>
      <c r="L755" t="s">
        <v>493</v>
      </c>
      <c r="M755" t="s">
        <v>951</v>
      </c>
      <c r="O755">
        <v>59.3</v>
      </c>
      <c r="P755">
        <v>23.7</v>
      </c>
      <c r="CW755">
        <v>1</v>
      </c>
      <c r="CX755">
        <v>1</v>
      </c>
    </row>
    <row r="756" spans="1:213" x14ac:dyDescent="0.25">
      <c r="A756" t="s">
        <v>492</v>
      </c>
      <c r="B756" t="s">
        <v>54</v>
      </c>
      <c r="C756" s="3">
        <v>22.26</v>
      </c>
      <c r="D756" s="3">
        <v>113.54</v>
      </c>
      <c r="E756" t="s">
        <v>12</v>
      </c>
      <c r="F756" t="s">
        <v>77</v>
      </c>
      <c r="G756" t="s">
        <v>76</v>
      </c>
      <c r="I756" t="s">
        <v>12</v>
      </c>
      <c r="J756" t="s">
        <v>15</v>
      </c>
      <c r="K756" t="s">
        <v>12</v>
      </c>
      <c r="L756" t="s">
        <v>493</v>
      </c>
      <c r="M756" t="s">
        <v>951</v>
      </c>
      <c r="O756">
        <v>31</v>
      </c>
      <c r="P756">
        <v>20</v>
      </c>
      <c r="DB756">
        <v>1</v>
      </c>
      <c r="DC756">
        <v>1</v>
      </c>
    </row>
    <row r="757" spans="1:213" x14ac:dyDescent="0.25">
      <c r="A757" t="s">
        <v>90</v>
      </c>
      <c r="B757" t="s">
        <v>54</v>
      </c>
      <c r="C757" s="3">
        <f>40+4/60+10/3600</f>
        <v>40.06944444444445</v>
      </c>
      <c r="D757" s="3">
        <f>111+10/60+19/3600</f>
        <v>111.17194444444445</v>
      </c>
      <c r="E757" t="s">
        <v>15</v>
      </c>
      <c r="F757" t="s">
        <v>22</v>
      </c>
      <c r="G757" t="s">
        <v>76</v>
      </c>
      <c r="H757">
        <v>45</v>
      </c>
      <c r="I757" t="s">
        <v>12</v>
      </c>
      <c r="J757" t="s">
        <v>12</v>
      </c>
      <c r="K757" t="s">
        <v>12</v>
      </c>
      <c r="L757" t="s">
        <v>86</v>
      </c>
      <c r="M757" t="s">
        <v>1132</v>
      </c>
      <c r="O757">
        <v>60.32</v>
      </c>
      <c r="P757">
        <v>25.83</v>
      </c>
      <c r="EO757">
        <v>1</v>
      </c>
    </row>
    <row r="758" spans="1:213" x14ac:dyDescent="0.25">
      <c r="A758" t="s">
        <v>403</v>
      </c>
      <c r="B758" t="s">
        <v>404</v>
      </c>
      <c r="C758" s="3">
        <v>9.91</v>
      </c>
      <c r="D758" s="3">
        <v>-84.08</v>
      </c>
      <c r="E758" t="s">
        <v>12</v>
      </c>
      <c r="F758" t="s">
        <v>22</v>
      </c>
      <c r="G758" t="s">
        <v>76</v>
      </c>
      <c r="I758" t="s">
        <v>15</v>
      </c>
      <c r="J758" t="s">
        <v>12</v>
      </c>
      <c r="K758" t="s">
        <v>12</v>
      </c>
      <c r="L758" t="s">
        <v>405</v>
      </c>
      <c r="M758" t="s">
        <v>994</v>
      </c>
      <c r="N758" t="s">
        <v>406</v>
      </c>
      <c r="O758">
        <v>25</v>
      </c>
      <c r="P758">
        <v>16</v>
      </c>
      <c r="GT758">
        <v>1</v>
      </c>
      <c r="GU758">
        <v>1</v>
      </c>
      <c r="GV758">
        <v>1</v>
      </c>
      <c r="GW758">
        <v>1</v>
      </c>
      <c r="GX758">
        <v>1</v>
      </c>
      <c r="GY758">
        <v>1</v>
      </c>
      <c r="GZ758">
        <v>1</v>
      </c>
      <c r="HA758">
        <v>1</v>
      </c>
      <c r="HB758">
        <v>1</v>
      </c>
      <c r="HC758">
        <v>1</v>
      </c>
      <c r="HD758">
        <v>1</v>
      </c>
      <c r="HE758">
        <v>1</v>
      </c>
    </row>
    <row r="759" spans="1:213" x14ac:dyDescent="0.25">
      <c r="A759" t="s">
        <v>403</v>
      </c>
      <c r="B759" t="s">
        <v>404</v>
      </c>
      <c r="C759" s="3">
        <v>9.91</v>
      </c>
      <c r="D759" s="3">
        <v>-84.08</v>
      </c>
      <c r="E759" t="s">
        <v>12</v>
      </c>
      <c r="F759" t="s">
        <v>22</v>
      </c>
      <c r="G759" t="s">
        <v>76</v>
      </c>
      <c r="I759" t="s">
        <v>15</v>
      </c>
      <c r="J759" t="s">
        <v>12</v>
      </c>
      <c r="K759" t="s">
        <v>12</v>
      </c>
      <c r="L759" t="s">
        <v>405</v>
      </c>
      <c r="M759" t="s">
        <v>994</v>
      </c>
      <c r="N759" t="s">
        <v>408</v>
      </c>
      <c r="O759">
        <v>30</v>
      </c>
      <c r="P759">
        <v>17</v>
      </c>
      <c r="GT759">
        <v>1</v>
      </c>
      <c r="GU759">
        <v>1</v>
      </c>
      <c r="GV759">
        <v>1</v>
      </c>
      <c r="GW759">
        <v>1</v>
      </c>
      <c r="GX759">
        <v>1</v>
      </c>
      <c r="GY759">
        <v>1</v>
      </c>
      <c r="GZ759">
        <v>1</v>
      </c>
      <c r="HA759">
        <v>1</v>
      </c>
      <c r="HB759">
        <v>1</v>
      </c>
      <c r="HC759">
        <v>1</v>
      </c>
      <c r="HD759">
        <v>1</v>
      </c>
      <c r="HE759">
        <v>1</v>
      </c>
    </row>
    <row r="760" spans="1:213" x14ac:dyDescent="0.25">
      <c r="A760" t="s">
        <v>403</v>
      </c>
      <c r="B760" t="s">
        <v>404</v>
      </c>
      <c r="C760" s="3">
        <v>9.91</v>
      </c>
      <c r="D760" s="3">
        <v>-84.08</v>
      </c>
      <c r="E760" t="s">
        <v>12</v>
      </c>
      <c r="F760" t="s">
        <v>21</v>
      </c>
      <c r="G760" t="s">
        <v>76</v>
      </c>
      <c r="I760" t="s">
        <v>15</v>
      </c>
      <c r="J760" t="s">
        <v>12</v>
      </c>
      <c r="K760" t="s">
        <v>12</v>
      </c>
      <c r="L760" t="s">
        <v>405</v>
      </c>
      <c r="M760" t="s">
        <v>994</v>
      </c>
      <c r="N760" t="s">
        <v>409</v>
      </c>
      <c r="O760">
        <v>17</v>
      </c>
      <c r="P760">
        <v>9</v>
      </c>
      <c r="GT760">
        <v>1</v>
      </c>
      <c r="GU760">
        <v>1</v>
      </c>
      <c r="GV760">
        <v>1</v>
      </c>
      <c r="GW760">
        <v>1</v>
      </c>
      <c r="GX760">
        <v>1</v>
      </c>
      <c r="GY760">
        <v>1</v>
      </c>
      <c r="GZ760">
        <v>1</v>
      </c>
      <c r="HA760">
        <v>1</v>
      </c>
      <c r="HB760">
        <v>1</v>
      </c>
      <c r="HC760">
        <v>1</v>
      </c>
      <c r="HD760">
        <v>1</v>
      </c>
      <c r="HE760">
        <v>1</v>
      </c>
    </row>
    <row r="761" spans="1:213" x14ac:dyDescent="0.25">
      <c r="A761" t="s">
        <v>403</v>
      </c>
      <c r="B761" t="s">
        <v>404</v>
      </c>
      <c r="C761" s="3">
        <v>9.91</v>
      </c>
      <c r="D761" s="3">
        <v>-84.08</v>
      </c>
      <c r="E761" t="s">
        <v>12</v>
      </c>
      <c r="F761" t="s">
        <v>77</v>
      </c>
      <c r="G761" t="s">
        <v>76</v>
      </c>
      <c r="I761" t="s">
        <v>15</v>
      </c>
      <c r="J761" t="s">
        <v>12</v>
      </c>
      <c r="K761" t="s">
        <v>12</v>
      </c>
      <c r="L761" t="s">
        <v>405</v>
      </c>
      <c r="M761" t="s">
        <v>994</v>
      </c>
      <c r="N761" t="s">
        <v>407</v>
      </c>
      <c r="O761">
        <v>31</v>
      </c>
      <c r="P761">
        <v>23</v>
      </c>
      <c r="GT761">
        <v>1</v>
      </c>
      <c r="GU761">
        <v>1</v>
      </c>
      <c r="GV761">
        <v>1</v>
      </c>
      <c r="GW761">
        <v>1</v>
      </c>
      <c r="GX761">
        <v>1</v>
      </c>
      <c r="GY761">
        <v>1</v>
      </c>
      <c r="GZ761">
        <v>1</v>
      </c>
      <c r="HA761">
        <v>1</v>
      </c>
      <c r="HB761">
        <v>1</v>
      </c>
      <c r="HC761">
        <v>1</v>
      </c>
      <c r="HD761">
        <v>1</v>
      </c>
      <c r="HE761">
        <v>1</v>
      </c>
    </row>
    <row r="762" spans="1:213" x14ac:dyDescent="0.25">
      <c r="A762" t="s">
        <v>639</v>
      </c>
      <c r="B762" t="s">
        <v>627</v>
      </c>
      <c r="C762" s="3">
        <v>11.54</v>
      </c>
      <c r="D762" s="3">
        <v>43.16</v>
      </c>
      <c r="E762" t="s">
        <v>12</v>
      </c>
      <c r="F762" t="s">
        <v>9</v>
      </c>
      <c r="G762" t="s">
        <v>106</v>
      </c>
      <c r="I762" t="s">
        <v>12</v>
      </c>
      <c r="J762" t="s">
        <v>12</v>
      </c>
      <c r="K762" t="s">
        <v>15</v>
      </c>
      <c r="L762" t="s">
        <v>625</v>
      </c>
      <c r="M762" t="s">
        <v>788</v>
      </c>
      <c r="O762">
        <v>72</v>
      </c>
      <c r="ER762">
        <v>1</v>
      </c>
      <c r="ES762">
        <v>1</v>
      </c>
      <c r="ET762">
        <v>1</v>
      </c>
      <c r="EU762">
        <v>1</v>
      </c>
      <c r="EV762">
        <v>1</v>
      </c>
      <c r="EW762">
        <v>1</v>
      </c>
      <c r="EX762">
        <v>1</v>
      </c>
      <c r="EY762">
        <v>1</v>
      </c>
      <c r="EZ762">
        <v>1</v>
      </c>
      <c r="FA762">
        <v>1</v>
      </c>
      <c r="FB762">
        <v>1</v>
      </c>
      <c r="FC762">
        <v>1</v>
      </c>
      <c r="FD762">
        <v>1</v>
      </c>
      <c r="FE762">
        <v>1</v>
      </c>
      <c r="FF762">
        <v>1</v>
      </c>
      <c r="FG762">
        <v>1</v>
      </c>
      <c r="FH762">
        <v>1</v>
      </c>
      <c r="FI762">
        <v>1</v>
      </c>
      <c r="FJ762">
        <v>0.5</v>
      </c>
    </row>
    <row r="763" spans="1:213" x14ac:dyDescent="0.25">
      <c r="A763" t="s">
        <v>43</v>
      </c>
      <c r="B763" t="s">
        <v>44</v>
      </c>
      <c r="C763" s="3">
        <f>30+17/60+9/3600</f>
        <v>30.285833333333336</v>
      </c>
      <c r="D763" s="3">
        <f>31+14/60+2/3600</f>
        <v>31.233888888888888</v>
      </c>
      <c r="E763" t="s">
        <v>34</v>
      </c>
      <c r="F763" t="s">
        <v>20</v>
      </c>
      <c r="G763" t="s">
        <v>30</v>
      </c>
      <c r="I763" t="s">
        <v>15</v>
      </c>
      <c r="J763" t="s">
        <v>15</v>
      </c>
      <c r="K763" t="s">
        <v>15</v>
      </c>
      <c r="L763" t="s">
        <v>45</v>
      </c>
      <c r="M763" t="s">
        <v>792</v>
      </c>
      <c r="N763" t="s">
        <v>421</v>
      </c>
      <c r="O763">
        <v>49.7</v>
      </c>
      <c r="P763">
        <v>2.7</v>
      </c>
      <c r="BN763">
        <v>0.5</v>
      </c>
      <c r="BO763">
        <v>0.5</v>
      </c>
    </row>
    <row r="764" spans="1:213" x14ac:dyDescent="0.25">
      <c r="A764" t="s">
        <v>43</v>
      </c>
      <c r="B764" t="s">
        <v>44</v>
      </c>
      <c r="C764" s="3">
        <f>30+17/60+9/3600</f>
        <v>30.285833333333336</v>
      </c>
      <c r="D764" s="3">
        <f>31+14/60+2/3600</f>
        <v>31.233888888888888</v>
      </c>
      <c r="E764" t="s">
        <v>34</v>
      </c>
      <c r="F764" t="s">
        <v>20</v>
      </c>
      <c r="G764" t="s">
        <v>30</v>
      </c>
      <c r="I764" t="s">
        <v>15</v>
      </c>
      <c r="J764" t="s">
        <v>15</v>
      </c>
      <c r="K764" t="s">
        <v>15</v>
      </c>
      <c r="L764" t="s">
        <v>45</v>
      </c>
      <c r="M764" t="s">
        <v>792</v>
      </c>
      <c r="N764" t="s">
        <v>421</v>
      </c>
      <c r="O764">
        <v>111.4</v>
      </c>
      <c r="P764">
        <v>6.2</v>
      </c>
      <c r="BW764">
        <v>1</v>
      </c>
    </row>
    <row r="765" spans="1:213" x14ac:dyDescent="0.25">
      <c r="A765" t="s">
        <v>43</v>
      </c>
      <c r="B765" t="s">
        <v>44</v>
      </c>
      <c r="C765" s="3">
        <f>30+17/60+9/3600</f>
        <v>30.285833333333336</v>
      </c>
      <c r="D765" s="3">
        <f>31+14/60+2/3600</f>
        <v>31.233888888888888</v>
      </c>
      <c r="E765" t="s">
        <v>34</v>
      </c>
      <c r="F765" t="s">
        <v>20</v>
      </c>
      <c r="G765" t="s">
        <v>30</v>
      </c>
      <c r="I765" t="s">
        <v>15</v>
      </c>
      <c r="J765" t="s">
        <v>15</v>
      </c>
      <c r="K765" t="s">
        <v>15</v>
      </c>
      <c r="L765" t="s">
        <v>45</v>
      </c>
      <c r="M765" t="s">
        <v>792</v>
      </c>
      <c r="N765" t="s">
        <v>421</v>
      </c>
      <c r="O765">
        <v>34.700000000000003</v>
      </c>
      <c r="P765">
        <v>1.9</v>
      </c>
      <c r="DB765">
        <v>1</v>
      </c>
    </row>
    <row r="766" spans="1:213" x14ac:dyDescent="0.25">
      <c r="A766" t="s">
        <v>43</v>
      </c>
      <c r="B766" t="s">
        <v>44</v>
      </c>
      <c r="C766" s="3">
        <f>30+3/60+36/3600</f>
        <v>30.060000000000002</v>
      </c>
      <c r="D766" s="3">
        <f>31+14/60+43/3600</f>
        <v>31.24527777777778</v>
      </c>
      <c r="E766" t="s">
        <v>34</v>
      </c>
      <c r="F766" t="s">
        <v>34</v>
      </c>
      <c r="G766" t="s">
        <v>30</v>
      </c>
      <c r="I766" t="s">
        <v>15</v>
      </c>
      <c r="J766" t="s">
        <v>15</v>
      </c>
      <c r="K766" t="s">
        <v>15</v>
      </c>
      <c r="L766" t="s">
        <v>45</v>
      </c>
      <c r="M766" t="s">
        <v>792</v>
      </c>
      <c r="N766" t="s">
        <v>424</v>
      </c>
      <c r="O766">
        <v>84.6</v>
      </c>
      <c r="P766">
        <v>4.3</v>
      </c>
      <c r="BN766">
        <v>0.5</v>
      </c>
      <c r="BO766">
        <v>0.5</v>
      </c>
    </row>
    <row r="767" spans="1:213" x14ac:dyDescent="0.25">
      <c r="A767" t="s">
        <v>43</v>
      </c>
      <c r="B767" t="s">
        <v>44</v>
      </c>
      <c r="C767" s="3">
        <f>30+3/60+36/3600</f>
        <v>30.060000000000002</v>
      </c>
      <c r="D767" s="3">
        <f>31+14/60+43/3600</f>
        <v>31.24527777777778</v>
      </c>
      <c r="E767" t="s">
        <v>34</v>
      </c>
      <c r="F767" t="s">
        <v>34</v>
      </c>
      <c r="G767" t="s">
        <v>30</v>
      </c>
      <c r="I767" t="s">
        <v>15</v>
      </c>
      <c r="J767" t="s">
        <v>15</v>
      </c>
      <c r="K767" t="s">
        <v>15</v>
      </c>
      <c r="L767" t="s">
        <v>45</v>
      </c>
      <c r="M767" t="s">
        <v>792</v>
      </c>
      <c r="N767" t="s">
        <v>424</v>
      </c>
      <c r="O767">
        <v>135.1</v>
      </c>
      <c r="P767">
        <v>7.3</v>
      </c>
      <c r="BW767">
        <v>1</v>
      </c>
    </row>
    <row r="768" spans="1:213" x14ac:dyDescent="0.25">
      <c r="A768" t="s">
        <v>43</v>
      </c>
      <c r="B768" t="s">
        <v>44</v>
      </c>
      <c r="C768" s="3">
        <f>30+3/60+36/3600</f>
        <v>30.060000000000002</v>
      </c>
      <c r="D768" s="3">
        <f>31+14/60+43/3600</f>
        <v>31.24527777777778</v>
      </c>
      <c r="E768" t="s">
        <v>34</v>
      </c>
      <c r="F768" t="s">
        <v>34</v>
      </c>
      <c r="G768" t="s">
        <v>30</v>
      </c>
      <c r="I768" t="s">
        <v>15</v>
      </c>
      <c r="J768" t="s">
        <v>15</v>
      </c>
      <c r="K768" t="s">
        <v>15</v>
      </c>
      <c r="L768" t="s">
        <v>45</v>
      </c>
      <c r="M768" t="s">
        <v>792</v>
      </c>
      <c r="N768" t="s">
        <v>424</v>
      </c>
      <c r="O768">
        <v>59.3</v>
      </c>
      <c r="P768">
        <v>2.6</v>
      </c>
      <c r="DB768">
        <v>1</v>
      </c>
    </row>
    <row r="769" spans="1:213" x14ac:dyDescent="0.25">
      <c r="A769" t="s">
        <v>43</v>
      </c>
      <c r="B769" t="s">
        <v>44</v>
      </c>
      <c r="C769" s="3">
        <f>30+6/60+18/3600</f>
        <v>30.105</v>
      </c>
      <c r="D769" s="3">
        <f>31+16/60+8/3600</f>
        <v>31.268888888888888</v>
      </c>
      <c r="E769" t="s">
        <v>34</v>
      </c>
      <c r="F769" t="s">
        <v>22</v>
      </c>
      <c r="G769" t="s">
        <v>30</v>
      </c>
      <c r="I769" t="s">
        <v>15</v>
      </c>
      <c r="J769" t="s">
        <v>15</v>
      </c>
      <c r="K769" t="s">
        <v>15</v>
      </c>
      <c r="L769" t="s">
        <v>45</v>
      </c>
      <c r="M769" t="s">
        <v>792</v>
      </c>
      <c r="N769" t="s">
        <v>422</v>
      </c>
      <c r="O769">
        <v>216.1</v>
      </c>
      <c r="P769">
        <v>11</v>
      </c>
      <c r="BN769">
        <v>0.5</v>
      </c>
      <c r="BO769">
        <v>0.5</v>
      </c>
    </row>
    <row r="770" spans="1:213" x14ac:dyDescent="0.25">
      <c r="A770" t="s">
        <v>43</v>
      </c>
      <c r="B770" t="s">
        <v>44</v>
      </c>
      <c r="C770" s="3">
        <f>30+6/60+18/3600</f>
        <v>30.105</v>
      </c>
      <c r="D770" s="3">
        <f>31+16/60+8/3600</f>
        <v>31.268888888888888</v>
      </c>
      <c r="E770" t="s">
        <v>34</v>
      </c>
      <c r="F770" t="s">
        <v>22</v>
      </c>
      <c r="G770" t="s">
        <v>30</v>
      </c>
      <c r="I770" t="s">
        <v>15</v>
      </c>
      <c r="J770" t="s">
        <v>15</v>
      </c>
      <c r="K770" t="s">
        <v>15</v>
      </c>
      <c r="L770" t="s">
        <v>45</v>
      </c>
      <c r="M770" t="s">
        <v>792</v>
      </c>
      <c r="N770" t="s">
        <v>422</v>
      </c>
      <c r="O770">
        <v>173.5</v>
      </c>
      <c r="P770">
        <v>9</v>
      </c>
      <c r="BW770">
        <v>1</v>
      </c>
    </row>
    <row r="771" spans="1:213" x14ac:dyDescent="0.25">
      <c r="A771" t="s">
        <v>43</v>
      </c>
      <c r="B771" t="s">
        <v>44</v>
      </c>
      <c r="C771" s="3">
        <f>30+6/60+18/3600</f>
        <v>30.105</v>
      </c>
      <c r="D771" s="3">
        <f>31+16/60+8/3600</f>
        <v>31.268888888888888</v>
      </c>
      <c r="E771" t="s">
        <v>34</v>
      </c>
      <c r="F771" t="s">
        <v>22</v>
      </c>
      <c r="G771" t="s">
        <v>30</v>
      </c>
      <c r="I771" t="s">
        <v>15</v>
      </c>
      <c r="J771" t="s">
        <v>15</v>
      </c>
      <c r="K771" t="s">
        <v>15</v>
      </c>
      <c r="L771" t="s">
        <v>45</v>
      </c>
      <c r="M771" t="s">
        <v>792</v>
      </c>
      <c r="N771" t="s">
        <v>422</v>
      </c>
      <c r="O771">
        <v>60.7</v>
      </c>
      <c r="P771">
        <v>3.2</v>
      </c>
      <c r="DB771">
        <v>1</v>
      </c>
    </row>
    <row r="772" spans="1:213" x14ac:dyDescent="0.25">
      <c r="A772" t="s">
        <v>43</v>
      </c>
      <c r="B772" t="s">
        <v>44</v>
      </c>
      <c r="C772" s="3">
        <f>29+54/60+12/3600</f>
        <v>29.903333333333332</v>
      </c>
      <c r="D772" s="3">
        <f>31+17/60+49/3600</f>
        <v>31.296944444444446</v>
      </c>
      <c r="E772" t="s">
        <v>34</v>
      </c>
      <c r="F772" t="s">
        <v>22</v>
      </c>
      <c r="G772" t="s">
        <v>30</v>
      </c>
      <c r="I772" t="s">
        <v>15</v>
      </c>
      <c r="J772" t="s">
        <v>15</v>
      </c>
      <c r="K772" t="s">
        <v>15</v>
      </c>
      <c r="L772" t="s">
        <v>45</v>
      </c>
      <c r="M772" t="s">
        <v>792</v>
      </c>
      <c r="N772" t="s">
        <v>423</v>
      </c>
      <c r="O772">
        <v>60.9</v>
      </c>
      <c r="P772">
        <v>3.3</v>
      </c>
      <c r="BN772">
        <v>0.5</v>
      </c>
      <c r="BO772">
        <v>0.5</v>
      </c>
    </row>
    <row r="773" spans="1:213" x14ac:dyDescent="0.25">
      <c r="A773" t="s">
        <v>43</v>
      </c>
      <c r="B773" t="s">
        <v>44</v>
      </c>
      <c r="C773" s="3">
        <f>29+54/60+12/3600</f>
        <v>29.903333333333332</v>
      </c>
      <c r="D773" s="3">
        <f>31+17/60+49/3600</f>
        <v>31.296944444444446</v>
      </c>
      <c r="E773" t="s">
        <v>34</v>
      </c>
      <c r="F773" t="s">
        <v>22</v>
      </c>
      <c r="G773" t="s">
        <v>30</v>
      </c>
      <c r="I773" t="s">
        <v>15</v>
      </c>
      <c r="J773" t="s">
        <v>15</v>
      </c>
      <c r="K773" t="s">
        <v>15</v>
      </c>
      <c r="L773" t="s">
        <v>45</v>
      </c>
      <c r="M773" t="s">
        <v>792</v>
      </c>
      <c r="N773" t="s">
        <v>423</v>
      </c>
      <c r="O773">
        <v>107.5</v>
      </c>
      <c r="P773">
        <v>6.4</v>
      </c>
      <c r="BW773">
        <v>1</v>
      </c>
    </row>
    <row r="774" spans="1:213" x14ac:dyDescent="0.25">
      <c r="A774" t="s">
        <v>43</v>
      </c>
      <c r="B774" t="s">
        <v>44</v>
      </c>
      <c r="C774" s="3">
        <f>29+54/60+12/3600</f>
        <v>29.903333333333332</v>
      </c>
      <c r="D774" s="3">
        <f>31+17/60+49/3600</f>
        <v>31.296944444444446</v>
      </c>
      <c r="E774" t="s">
        <v>34</v>
      </c>
      <c r="F774" t="s">
        <v>22</v>
      </c>
      <c r="G774" t="s">
        <v>30</v>
      </c>
      <c r="I774" t="s">
        <v>15</v>
      </c>
      <c r="J774" t="s">
        <v>15</v>
      </c>
      <c r="K774" t="s">
        <v>15</v>
      </c>
      <c r="L774" t="s">
        <v>45</v>
      </c>
      <c r="M774" t="s">
        <v>792</v>
      </c>
      <c r="N774" t="s">
        <v>423</v>
      </c>
      <c r="O774">
        <v>48.3</v>
      </c>
      <c r="P774">
        <v>2.6</v>
      </c>
      <c r="DB774">
        <v>1</v>
      </c>
    </row>
    <row r="775" spans="1:213" x14ac:dyDescent="0.25">
      <c r="A775" t="s">
        <v>43</v>
      </c>
      <c r="B775" t="s">
        <v>44</v>
      </c>
      <c r="C775" s="3">
        <f>29+50/60+56/3600</f>
        <v>29.848888888888887</v>
      </c>
      <c r="D775" s="3">
        <f>31+20/60+13/3600</f>
        <v>31.336944444444445</v>
      </c>
      <c r="E775" t="s">
        <v>34</v>
      </c>
      <c r="F775" t="s">
        <v>21</v>
      </c>
      <c r="G775" t="s">
        <v>30</v>
      </c>
      <c r="I775" t="s">
        <v>15</v>
      </c>
      <c r="J775" t="s">
        <v>15</v>
      </c>
      <c r="K775" t="s">
        <v>15</v>
      </c>
      <c r="L775" t="s">
        <v>45</v>
      </c>
      <c r="M775" t="s">
        <v>792</v>
      </c>
      <c r="N775" t="s">
        <v>425</v>
      </c>
      <c r="O775">
        <v>29.4</v>
      </c>
      <c r="P775">
        <v>1.7</v>
      </c>
      <c r="BN775">
        <v>0.5</v>
      </c>
      <c r="BO775">
        <v>0.5</v>
      </c>
    </row>
    <row r="776" spans="1:213" x14ac:dyDescent="0.25">
      <c r="A776" t="s">
        <v>43</v>
      </c>
      <c r="B776" t="s">
        <v>44</v>
      </c>
      <c r="C776" s="3">
        <f>29+50/60+56/3600</f>
        <v>29.848888888888887</v>
      </c>
      <c r="D776" s="3">
        <f>31+20/60+13/3600</f>
        <v>31.336944444444445</v>
      </c>
      <c r="E776" t="s">
        <v>34</v>
      </c>
      <c r="F776" t="s">
        <v>21</v>
      </c>
      <c r="G776" t="s">
        <v>30</v>
      </c>
      <c r="I776" t="s">
        <v>15</v>
      </c>
      <c r="J776" t="s">
        <v>15</v>
      </c>
      <c r="K776" t="s">
        <v>15</v>
      </c>
      <c r="L776" t="s">
        <v>45</v>
      </c>
      <c r="M776" t="s">
        <v>792</v>
      </c>
      <c r="N776" t="s">
        <v>425</v>
      </c>
      <c r="O776">
        <v>99.9</v>
      </c>
      <c r="P776">
        <v>6</v>
      </c>
      <c r="BW776">
        <v>1</v>
      </c>
    </row>
    <row r="777" spans="1:213" x14ac:dyDescent="0.25">
      <c r="A777" t="s">
        <v>43</v>
      </c>
      <c r="B777" t="s">
        <v>44</v>
      </c>
      <c r="C777" s="3">
        <f>29+50/60+56/3600</f>
        <v>29.848888888888887</v>
      </c>
      <c r="D777" s="3">
        <f>31+20/60+13/3600</f>
        <v>31.336944444444445</v>
      </c>
      <c r="E777" t="s">
        <v>34</v>
      </c>
      <c r="F777" t="s">
        <v>21</v>
      </c>
      <c r="G777" t="s">
        <v>30</v>
      </c>
      <c r="I777" t="s">
        <v>15</v>
      </c>
      <c r="J777" t="s">
        <v>15</v>
      </c>
      <c r="K777" t="s">
        <v>15</v>
      </c>
      <c r="L777" t="s">
        <v>45</v>
      </c>
      <c r="M777" t="s">
        <v>792</v>
      </c>
      <c r="N777" t="s">
        <v>425</v>
      </c>
      <c r="O777">
        <v>47.9</v>
      </c>
      <c r="P777">
        <v>2.6</v>
      </c>
      <c r="DB777">
        <v>1</v>
      </c>
    </row>
    <row r="778" spans="1:213" x14ac:dyDescent="0.25">
      <c r="A778" t="s">
        <v>43</v>
      </c>
      <c r="B778" t="s">
        <v>44</v>
      </c>
      <c r="C778" s="3">
        <f>30+3/60+21/3600</f>
        <v>30.055833333333332</v>
      </c>
      <c r="D778" s="3">
        <f>31+13/60+29/3600</f>
        <v>31.224722222222219</v>
      </c>
      <c r="E778" t="s">
        <v>34</v>
      </c>
      <c r="F778" t="s">
        <v>21</v>
      </c>
      <c r="G778" t="s">
        <v>30</v>
      </c>
      <c r="I778" t="s">
        <v>15</v>
      </c>
      <c r="J778" t="s">
        <v>15</v>
      </c>
      <c r="K778" t="s">
        <v>15</v>
      </c>
      <c r="L778" t="s">
        <v>45</v>
      </c>
      <c r="M778" t="s">
        <v>792</v>
      </c>
      <c r="N778" t="s">
        <v>426</v>
      </c>
      <c r="O778">
        <v>61.9</v>
      </c>
      <c r="P778">
        <v>3.2</v>
      </c>
      <c r="BN778">
        <v>0.5</v>
      </c>
      <c r="BO778">
        <v>0.5</v>
      </c>
    </row>
    <row r="779" spans="1:213" x14ac:dyDescent="0.25">
      <c r="A779" t="s">
        <v>43</v>
      </c>
      <c r="B779" t="s">
        <v>44</v>
      </c>
      <c r="C779" s="3">
        <f>30+3/60+21/3600</f>
        <v>30.055833333333332</v>
      </c>
      <c r="D779" s="3">
        <f>31+13/60+29/3600</f>
        <v>31.224722222222219</v>
      </c>
      <c r="E779" t="s">
        <v>34</v>
      </c>
      <c r="F779" t="s">
        <v>21</v>
      </c>
      <c r="G779" t="s">
        <v>30</v>
      </c>
      <c r="I779" t="s">
        <v>15</v>
      </c>
      <c r="J779" t="s">
        <v>15</v>
      </c>
      <c r="K779" t="s">
        <v>15</v>
      </c>
      <c r="L779" t="s">
        <v>45</v>
      </c>
      <c r="M779" t="s">
        <v>792</v>
      </c>
      <c r="N779" t="s">
        <v>426</v>
      </c>
      <c r="O779">
        <v>131.80000000000001</v>
      </c>
      <c r="P779">
        <v>7.2</v>
      </c>
      <c r="BW779">
        <v>1</v>
      </c>
    </row>
    <row r="780" spans="1:213" x14ac:dyDescent="0.25">
      <c r="A780" t="s">
        <v>43</v>
      </c>
      <c r="B780" t="s">
        <v>44</v>
      </c>
      <c r="C780" s="3">
        <f>30+3/60+21/3600</f>
        <v>30.055833333333332</v>
      </c>
      <c r="D780" s="3">
        <f>31+13/60+29/3600</f>
        <v>31.224722222222219</v>
      </c>
      <c r="E780" t="s">
        <v>34</v>
      </c>
      <c r="F780" t="s">
        <v>21</v>
      </c>
      <c r="G780" t="s">
        <v>30</v>
      </c>
      <c r="I780" t="s">
        <v>15</v>
      </c>
      <c r="J780" t="s">
        <v>15</v>
      </c>
      <c r="K780" t="s">
        <v>15</v>
      </c>
      <c r="L780" t="s">
        <v>45</v>
      </c>
      <c r="M780" t="s">
        <v>792</v>
      </c>
      <c r="N780" t="s">
        <v>426</v>
      </c>
      <c r="O780">
        <v>39.6</v>
      </c>
      <c r="P780">
        <v>2.1</v>
      </c>
      <c r="DB780">
        <v>1</v>
      </c>
    </row>
    <row r="781" spans="1:213" x14ac:dyDescent="0.25">
      <c r="A781" t="s">
        <v>43</v>
      </c>
      <c r="B781" t="s">
        <v>44</v>
      </c>
      <c r="C781" s="3">
        <v>30.03</v>
      </c>
      <c r="D781" s="3">
        <v>31.21</v>
      </c>
      <c r="E781" t="s">
        <v>12</v>
      </c>
      <c r="F781" t="s">
        <v>77</v>
      </c>
      <c r="G781" t="s">
        <v>710</v>
      </c>
      <c r="I781" t="s">
        <v>15</v>
      </c>
      <c r="J781" t="s">
        <v>12</v>
      </c>
      <c r="K781" t="s">
        <v>15</v>
      </c>
      <c r="L781" t="s">
        <v>756</v>
      </c>
      <c r="M781" t="s">
        <v>814</v>
      </c>
      <c r="O781">
        <v>51</v>
      </c>
      <c r="P781">
        <v>39</v>
      </c>
      <c r="GW781">
        <v>1</v>
      </c>
      <c r="GX781">
        <v>1</v>
      </c>
      <c r="GY781">
        <v>1</v>
      </c>
      <c r="GZ781">
        <v>1</v>
      </c>
      <c r="HA781">
        <v>1</v>
      </c>
      <c r="HB781">
        <v>1</v>
      </c>
      <c r="HC781">
        <v>1</v>
      </c>
      <c r="HD781">
        <v>1</v>
      </c>
      <c r="HE781">
        <v>1</v>
      </c>
    </row>
    <row r="782" spans="1:213" x14ac:dyDescent="0.25">
      <c r="A782" t="s">
        <v>43</v>
      </c>
      <c r="B782" t="s">
        <v>44</v>
      </c>
      <c r="C782" s="3">
        <v>30.276</v>
      </c>
      <c r="D782" s="3">
        <v>31.196000000000002</v>
      </c>
      <c r="E782" t="s">
        <v>15</v>
      </c>
      <c r="F782" t="s">
        <v>20</v>
      </c>
      <c r="G782" t="s">
        <v>76</v>
      </c>
      <c r="H782">
        <v>50</v>
      </c>
      <c r="I782" t="s">
        <v>12</v>
      </c>
      <c r="J782" t="s">
        <v>12</v>
      </c>
      <c r="K782" t="s">
        <v>12</v>
      </c>
      <c r="L782" t="s">
        <v>109</v>
      </c>
      <c r="M782" t="s">
        <v>1123</v>
      </c>
      <c r="O782">
        <v>77</v>
      </c>
      <c r="P782">
        <v>20</v>
      </c>
      <c r="CK782">
        <v>1</v>
      </c>
      <c r="CL782">
        <v>1</v>
      </c>
      <c r="CM782">
        <v>1</v>
      </c>
      <c r="CN782">
        <v>1</v>
      </c>
      <c r="CO782">
        <v>1</v>
      </c>
      <c r="CP782">
        <v>1</v>
      </c>
      <c r="CQ782">
        <v>1</v>
      </c>
      <c r="CR782">
        <v>1</v>
      </c>
      <c r="CS782">
        <v>1</v>
      </c>
      <c r="CT782">
        <v>1</v>
      </c>
      <c r="CU782">
        <v>1</v>
      </c>
      <c r="CV782">
        <v>1</v>
      </c>
      <c r="CW782">
        <v>1</v>
      </c>
      <c r="CX782">
        <v>1</v>
      </c>
      <c r="CY782">
        <v>1</v>
      </c>
      <c r="CZ782">
        <v>1</v>
      </c>
      <c r="DA782">
        <v>1</v>
      </c>
      <c r="DB782">
        <v>1</v>
      </c>
      <c r="DC782">
        <v>1</v>
      </c>
      <c r="DD782">
        <v>1</v>
      </c>
      <c r="DE782">
        <v>1</v>
      </c>
      <c r="DF782">
        <v>1</v>
      </c>
      <c r="DG782">
        <v>1</v>
      </c>
      <c r="DH782">
        <v>1</v>
      </c>
    </row>
    <row r="783" spans="1:213" x14ac:dyDescent="0.25">
      <c r="A783" t="s">
        <v>43</v>
      </c>
      <c r="B783" t="s">
        <v>44</v>
      </c>
      <c r="C783" s="3">
        <v>30.114999999999998</v>
      </c>
      <c r="D783" s="3">
        <v>31.3</v>
      </c>
      <c r="E783" t="s">
        <v>15</v>
      </c>
      <c r="F783" t="s">
        <v>22</v>
      </c>
      <c r="G783" t="s">
        <v>76</v>
      </c>
      <c r="H783">
        <v>50</v>
      </c>
      <c r="I783" t="s">
        <v>12</v>
      </c>
      <c r="J783" t="s">
        <v>12</v>
      </c>
      <c r="K783" t="s">
        <v>12</v>
      </c>
      <c r="L783" t="s">
        <v>109</v>
      </c>
      <c r="M783" t="s">
        <v>1123</v>
      </c>
      <c r="O783">
        <v>100</v>
      </c>
      <c r="P783">
        <v>23</v>
      </c>
      <c r="CK783">
        <v>1</v>
      </c>
      <c r="CL783">
        <v>1</v>
      </c>
      <c r="CM783">
        <v>1</v>
      </c>
      <c r="CN783">
        <v>1</v>
      </c>
      <c r="CO783">
        <v>1</v>
      </c>
      <c r="CP783">
        <v>1</v>
      </c>
      <c r="CQ783">
        <v>1</v>
      </c>
      <c r="CR783">
        <v>1</v>
      </c>
      <c r="CS783">
        <v>1</v>
      </c>
      <c r="CT783">
        <v>1</v>
      </c>
      <c r="CU783">
        <v>1</v>
      </c>
      <c r="CV783">
        <v>1</v>
      </c>
      <c r="CW783">
        <v>1</v>
      </c>
      <c r="CX783">
        <v>1</v>
      </c>
      <c r="CY783">
        <v>1</v>
      </c>
      <c r="CZ783">
        <v>1</v>
      </c>
      <c r="DA783">
        <v>1</v>
      </c>
      <c r="DB783">
        <v>1</v>
      </c>
      <c r="DC783">
        <v>1</v>
      </c>
      <c r="DD783">
        <v>1</v>
      </c>
      <c r="DE783">
        <v>1</v>
      </c>
      <c r="DF783">
        <v>1</v>
      </c>
      <c r="DG783">
        <v>1</v>
      </c>
      <c r="DH783">
        <v>1</v>
      </c>
    </row>
    <row r="784" spans="1:213" x14ac:dyDescent="0.25">
      <c r="A784" t="s">
        <v>43</v>
      </c>
      <c r="B784" t="s">
        <v>44</v>
      </c>
      <c r="C784" s="3">
        <v>29.85</v>
      </c>
      <c r="D784" s="3">
        <f>31.3</f>
        <v>31.3</v>
      </c>
      <c r="E784" t="s">
        <v>15</v>
      </c>
      <c r="F784" t="s">
        <v>21</v>
      </c>
      <c r="G784" t="s">
        <v>76</v>
      </c>
      <c r="H784">
        <v>50</v>
      </c>
      <c r="I784" t="s">
        <v>12</v>
      </c>
      <c r="J784" t="s">
        <v>12</v>
      </c>
      <c r="K784" t="s">
        <v>12</v>
      </c>
      <c r="L784" t="s">
        <v>109</v>
      </c>
      <c r="M784" t="s">
        <v>1123</v>
      </c>
      <c r="O784">
        <v>78</v>
      </c>
      <c r="P784">
        <v>16</v>
      </c>
      <c r="CK784">
        <v>1</v>
      </c>
      <c r="CL784">
        <v>1</v>
      </c>
      <c r="CM784">
        <v>1</v>
      </c>
      <c r="CN784">
        <v>1</v>
      </c>
      <c r="CO784">
        <v>1</v>
      </c>
      <c r="CP784">
        <v>1</v>
      </c>
      <c r="CQ784">
        <v>1</v>
      </c>
      <c r="CR784">
        <v>1</v>
      </c>
      <c r="CS784">
        <v>1</v>
      </c>
      <c r="CT784">
        <v>1</v>
      </c>
      <c r="CU784">
        <v>1</v>
      </c>
      <c r="CV784">
        <v>1</v>
      </c>
      <c r="CW784">
        <v>1</v>
      </c>
      <c r="CX784">
        <v>1</v>
      </c>
      <c r="CY784">
        <v>1</v>
      </c>
      <c r="CZ784">
        <v>1</v>
      </c>
      <c r="DA784">
        <v>1</v>
      </c>
      <c r="DB784">
        <v>1</v>
      </c>
      <c r="DC784">
        <v>1</v>
      </c>
      <c r="DD784">
        <v>1</v>
      </c>
      <c r="DE784">
        <v>1</v>
      </c>
      <c r="DF784">
        <v>1</v>
      </c>
      <c r="DG784">
        <v>1</v>
      </c>
      <c r="DH784">
        <v>1</v>
      </c>
    </row>
    <row r="785" spans="1:197" x14ac:dyDescent="0.25">
      <c r="A785" t="s">
        <v>43</v>
      </c>
      <c r="B785" t="s">
        <v>44</v>
      </c>
      <c r="C785" s="3">
        <v>30.05</v>
      </c>
      <c r="D785" s="3">
        <v>31.27</v>
      </c>
      <c r="E785" t="s">
        <v>15</v>
      </c>
      <c r="F785" t="s">
        <v>77</v>
      </c>
      <c r="G785" t="s">
        <v>76</v>
      </c>
      <c r="H785">
        <v>50</v>
      </c>
      <c r="I785" t="s">
        <v>12</v>
      </c>
      <c r="J785" t="s">
        <v>12</v>
      </c>
      <c r="K785" t="s">
        <v>12</v>
      </c>
      <c r="L785" t="s">
        <v>109</v>
      </c>
      <c r="M785" t="s">
        <v>1123</v>
      </c>
      <c r="O785">
        <v>83</v>
      </c>
      <c r="P785">
        <v>22</v>
      </c>
      <c r="CK785">
        <v>1</v>
      </c>
      <c r="CL785">
        <v>1</v>
      </c>
      <c r="CM785">
        <v>1</v>
      </c>
      <c r="CN785">
        <v>1</v>
      </c>
      <c r="CO785">
        <v>1</v>
      </c>
      <c r="CP785">
        <v>1</v>
      </c>
      <c r="CQ785">
        <v>1</v>
      </c>
      <c r="CR785">
        <v>1</v>
      </c>
      <c r="CS785">
        <v>1</v>
      </c>
      <c r="CT785">
        <v>1</v>
      </c>
      <c r="CU785">
        <v>1</v>
      </c>
      <c r="CV785">
        <v>1</v>
      </c>
      <c r="CW785">
        <v>1</v>
      </c>
      <c r="CX785">
        <v>1</v>
      </c>
      <c r="CY785">
        <v>1</v>
      </c>
      <c r="CZ785">
        <v>1</v>
      </c>
      <c r="DA785">
        <v>1</v>
      </c>
      <c r="DB785">
        <v>1</v>
      </c>
      <c r="DC785">
        <v>1</v>
      </c>
      <c r="DD785">
        <v>1</v>
      </c>
      <c r="DE785">
        <v>1</v>
      </c>
      <c r="DF785">
        <v>1</v>
      </c>
      <c r="DG785">
        <v>1</v>
      </c>
      <c r="DH785">
        <v>1</v>
      </c>
    </row>
    <row r="786" spans="1:197" x14ac:dyDescent="0.25">
      <c r="A786" t="s">
        <v>39</v>
      </c>
      <c r="B786" t="s">
        <v>40</v>
      </c>
      <c r="C786" s="3">
        <f>5+40/60+58/3600</f>
        <v>5.6827777777777779</v>
      </c>
      <c r="D786" s="3">
        <f>-(0+14/60+51/3600)</f>
        <v>-0.2475</v>
      </c>
      <c r="E786" t="s">
        <v>34</v>
      </c>
      <c r="F786" t="s">
        <v>21</v>
      </c>
      <c r="G786" t="s">
        <v>41</v>
      </c>
      <c r="I786" t="s">
        <v>15</v>
      </c>
      <c r="J786" t="s">
        <v>12</v>
      </c>
      <c r="K786" t="s">
        <v>15</v>
      </c>
      <c r="L786" t="s">
        <v>42</v>
      </c>
      <c r="M786" t="s">
        <v>790</v>
      </c>
      <c r="O786">
        <v>96.5</v>
      </c>
      <c r="P786">
        <v>88.7</v>
      </c>
      <c r="FC786">
        <v>0.5</v>
      </c>
      <c r="FD786">
        <v>1</v>
      </c>
      <c r="FE786">
        <v>1</v>
      </c>
    </row>
    <row r="787" spans="1:197" x14ac:dyDescent="0.25">
      <c r="A787" t="s">
        <v>39</v>
      </c>
      <c r="B787" t="s">
        <v>40</v>
      </c>
      <c r="C787" s="3">
        <f>5+40/60+58/3600</f>
        <v>5.6827777777777779</v>
      </c>
      <c r="D787" s="3">
        <f>-(0+14/60+51/3600)</f>
        <v>-0.2475</v>
      </c>
      <c r="E787" t="s">
        <v>34</v>
      </c>
      <c r="F787" t="s">
        <v>21</v>
      </c>
      <c r="G787" t="s">
        <v>41</v>
      </c>
      <c r="I787" t="s">
        <v>15</v>
      </c>
      <c r="J787" t="s">
        <v>12</v>
      </c>
      <c r="K787" t="s">
        <v>15</v>
      </c>
      <c r="L787" t="s">
        <v>42</v>
      </c>
      <c r="M787" t="s">
        <v>791</v>
      </c>
      <c r="O787">
        <v>22.9</v>
      </c>
      <c r="P787">
        <v>7.6</v>
      </c>
      <c r="ET787">
        <v>0.5</v>
      </c>
      <c r="EU787">
        <v>1</v>
      </c>
      <c r="EV787">
        <v>1</v>
      </c>
      <c r="EW787">
        <v>1</v>
      </c>
      <c r="EX787">
        <v>1</v>
      </c>
      <c r="EY787">
        <v>1</v>
      </c>
      <c r="EZ787">
        <v>1</v>
      </c>
      <c r="FA787">
        <v>1</v>
      </c>
      <c r="FB787">
        <v>1</v>
      </c>
      <c r="FC787">
        <v>0.5</v>
      </c>
      <c r="FF787">
        <v>0.5</v>
      </c>
    </row>
    <row r="788" spans="1:197" x14ac:dyDescent="0.25">
      <c r="A788" t="s">
        <v>388</v>
      </c>
      <c r="B788" t="s">
        <v>40</v>
      </c>
      <c r="C788" s="3">
        <f>5+41/60+42/3600</f>
        <v>5.6950000000000003</v>
      </c>
      <c r="D788" s="3">
        <f>-1/60-7/3600</f>
        <v>-1.861111111111111E-2</v>
      </c>
      <c r="E788" t="s">
        <v>15</v>
      </c>
      <c r="F788" t="s">
        <v>77</v>
      </c>
      <c r="G788" t="s">
        <v>106</v>
      </c>
      <c r="I788" t="s">
        <v>15</v>
      </c>
      <c r="J788" t="s">
        <v>12</v>
      </c>
      <c r="K788" t="s">
        <v>15</v>
      </c>
      <c r="L788" t="s">
        <v>387</v>
      </c>
      <c r="M788" t="s">
        <v>1003</v>
      </c>
      <c r="O788">
        <v>21.6</v>
      </c>
      <c r="P788">
        <v>12.93</v>
      </c>
      <c r="FR788">
        <v>1</v>
      </c>
      <c r="FS788">
        <v>1</v>
      </c>
      <c r="FT788">
        <v>1</v>
      </c>
      <c r="FU788">
        <v>1</v>
      </c>
      <c r="FV788">
        <v>1</v>
      </c>
      <c r="FW788">
        <v>1</v>
      </c>
      <c r="FX788">
        <v>1</v>
      </c>
    </row>
    <row r="789" spans="1:197" x14ac:dyDescent="0.25">
      <c r="A789" t="s">
        <v>385</v>
      </c>
      <c r="B789" t="s">
        <v>40</v>
      </c>
      <c r="C789" s="3">
        <v>10.89</v>
      </c>
      <c r="D789" s="3">
        <v>-1.08</v>
      </c>
      <c r="E789" t="s">
        <v>34</v>
      </c>
      <c r="F789" t="s">
        <v>20</v>
      </c>
      <c r="G789" t="s">
        <v>106</v>
      </c>
      <c r="I789" t="s">
        <v>15</v>
      </c>
      <c r="J789" t="s">
        <v>12</v>
      </c>
      <c r="K789" t="s">
        <v>15</v>
      </c>
      <c r="L789" t="s">
        <v>386</v>
      </c>
      <c r="M789" t="s">
        <v>1004</v>
      </c>
      <c r="O789">
        <v>56</v>
      </c>
      <c r="GD789">
        <v>1</v>
      </c>
    </row>
    <row r="790" spans="1:197" x14ac:dyDescent="0.25">
      <c r="A790" t="s">
        <v>385</v>
      </c>
      <c r="B790" t="s">
        <v>40</v>
      </c>
      <c r="C790" s="3">
        <v>10.89</v>
      </c>
      <c r="D790" s="3">
        <v>-1.08</v>
      </c>
      <c r="E790" t="s">
        <v>34</v>
      </c>
      <c r="F790" t="s">
        <v>20</v>
      </c>
      <c r="G790" t="s">
        <v>106</v>
      </c>
      <c r="I790" t="s">
        <v>15</v>
      </c>
      <c r="J790" t="s">
        <v>12</v>
      </c>
      <c r="K790" t="s">
        <v>15</v>
      </c>
      <c r="L790" t="s">
        <v>386</v>
      </c>
      <c r="M790" t="s">
        <v>1004</v>
      </c>
      <c r="O790">
        <v>39</v>
      </c>
      <c r="GE790">
        <v>1</v>
      </c>
    </row>
    <row r="791" spans="1:197" x14ac:dyDescent="0.25">
      <c r="A791" t="s">
        <v>385</v>
      </c>
      <c r="B791" t="s">
        <v>40</v>
      </c>
      <c r="C791" s="3">
        <v>10.89</v>
      </c>
      <c r="D791" s="3">
        <v>-1.08</v>
      </c>
      <c r="E791" t="s">
        <v>34</v>
      </c>
      <c r="F791" t="s">
        <v>20</v>
      </c>
      <c r="G791" t="s">
        <v>106</v>
      </c>
      <c r="I791" t="s">
        <v>15</v>
      </c>
      <c r="J791" t="s">
        <v>12</v>
      </c>
      <c r="K791" t="s">
        <v>15</v>
      </c>
      <c r="L791" t="s">
        <v>386</v>
      </c>
      <c r="M791" t="s">
        <v>1004</v>
      </c>
      <c r="O791">
        <v>29</v>
      </c>
      <c r="GF791">
        <v>1</v>
      </c>
    </row>
    <row r="792" spans="1:197" x14ac:dyDescent="0.25">
      <c r="A792" t="s">
        <v>385</v>
      </c>
      <c r="B792" t="s">
        <v>40</v>
      </c>
      <c r="C792" s="3">
        <v>10.89</v>
      </c>
      <c r="D792" s="3">
        <v>-1.08</v>
      </c>
      <c r="E792" t="s">
        <v>34</v>
      </c>
      <c r="F792" t="s">
        <v>20</v>
      </c>
      <c r="G792" t="s">
        <v>106</v>
      </c>
      <c r="I792" t="s">
        <v>15</v>
      </c>
      <c r="J792" t="s">
        <v>12</v>
      </c>
      <c r="K792" t="s">
        <v>15</v>
      </c>
      <c r="L792" t="s">
        <v>386</v>
      </c>
      <c r="M792" t="s">
        <v>1004</v>
      </c>
      <c r="O792">
        <v>29.5</v>
      </c>
      <c r="GG792">
        <v>1</v>
      </c>
    </row>
    <row r="793" spans="1:197" x14ac:dyDescent="0.25">
      <c r="A793" t="s">
        <v>385</v>
      </c>
      <c r="B793" t="s">
        <v>40</v>
      </c>
      <c r="C793" s="3">
        <v>10.89</v>
      </c>
      <c r="D793" s="3">
        <v>-1.08</v>
      </c>
      <c r="E793" t="s">
        <v>34</v>
      </c>
      <c r="F793" t="s">
        <v>20</v>
      </c>
      <c r="G793" t="s">
        <v>106</v>
      </c>
      <c r="I793" t="s">
        <v>15</v>
      </c>
      <c r="J793" t="s">
        <v>12</v>
      </c>
      <c r="K793" t="s">
        <v>15</v>
      </c>
      <c r="L793" t="s">
        <v>386</v>
      </c>
      <c r="M793" t="s">
        <v>1004</v>
      </c>
      <c r="O793">
        <v>26</v>
      </c>
      <c r="GH793">
        <v>1</v>
      </c>
    </row>
    <row r="794" spans="1:197" x14ac:dyDescent="0.25">
      <c r="A794" t="s">
        <v>385</v>
      </c>
      <c r="B794" t="s">
        <v>40</v>
      </c>
      <c r="C794" s="3">
        <v>10.89</v>
      </c>
      <c r="D794" s="3">
        <v>-1.08</v>
      </c>
      <c r="E794" t="s">
        <v>34</v>
      </c>
      <c r="F794" t="s">
        <v>20</v>
      </c>
      <c r="G794" t="s">
        <v>106</v>
      </c>
      <c r="I794" t="s">
        <v>15</v>
      </c>
      <c r="J794" t="s">
        <v>12</v>
      </c>
      <c r="K794" t="s">
        <v>15</v>
      </c>
      <c r="L794" t="s">
        <v>386</v>
      </c>
      <c r="M794" t="s">
        <v>1004</v>
      </c>
      <c r="O794">
        <v>25</v>
      </c>
      <c r="GI794">
        <v>1</v>
      </c>
    </row>
    <row r="795" spans="1:197" x14ac:dyDescent="0.25">
      <c r="A795" t="s">
        <v>385</v>
      </c>
      <c r="B795" t="s">
        <v>40</v>
      </c>
      <c r="C795" s="3">
        <v>10.89</v>
      </c>
      <c r="D795" s="3">
        <v>-1.08</v>
      </c>
      <c r="E795" t="s">
        <v>34</v>
      </c>
      <c r="F795" t="s">
        <v>20</v>
      </c>
      <c r="G795" t="s">
        <v>106</v>
      </c>
      <c r="I795" t="s">
        <v>15</v>
      </c>
      <c r="J795" t="s">
        <v>12</v>
      </c>
      <c r="K795" t="s">
        <v>15</v>
      </c>
      <c r="L795" t="s">
        <v>386</v>
      </c>
      <c r="M795" t="s">
        <v>1004</v>
      </c>
      <c r="O795">
        <v>22.5</v>
      </c>
      <c r="GJ795">
        <v>1</v>
      </c>
    </row>
    <row r="796" spans="1:197" x14ac:dyDescent="0.25">
      <c r="A796" t="s">
        <v>385</v>
      </c>
      <c r="B796" t="s">
        <v>40</v>
      </c>
      <c r="C796" s="3">
        <v>10.89</v>
      </c>
      <c r="D796" s="3">
        <v>-1.08</v>
      </c>
      <c r="E796" t="s">
        <v>34</v>
      </c>
      <c r="F796" t="s">
        <v>20</v>
      </c>
      <c r="G796" t="s">
        <v>106</v>
      </c>
      <c r="I796" t="s">
        <v>15</v>
      </c>
      <c r="J796" t="s">
        <v>12</v>
      </c>
      <c r="K796" t="s">
        <v>15</v>
      </c>
      <c r="L796" t="s">
        <v>386</v>
      </c>
      <c r="M796" t="s">
        <v>1004</v>
      </c>
      <c r="O796">
        <v>14.5</v>
      </c>
      <c r="GK796">
        <v>1</v>
      </c>
    </row>
    <row r="797" spans="1:197" x14ac:dyDescent="0.25">
      <c r="A797" t="s">
        <v>385</v>
      </c>
      <c r="B797" t="s">
        <v>40</v>
      </c>
      <c r="C797" s="3">
        <v>10.89</v>
      </c>
      <c r="D797" s="3">
        <v>-1.08</v>
      </c>
      <c r="E797" t="s">
        <v>34</v>
      </c>
      <c r="F797" t="s">
        <v>20</v>
      </c>
      <c r="G797" t="s">
        <v>106</v>
      </c>
      <c r="I797" t="s">
        <v>15</v>
      </c>
      <c r="J797" t="s">
        <v>12</v>
      </c>
      <c r="K797" t="s">
        <v>15</v>
      </c>
      <c r="L797" t="s">
        <v>386</v>
      </c>
      <c r="M797" t="s">
        <v>1004</v>
      </c>
      <c r="O797">
        <v>22</v>
      </c>
      <c r="GL797">
        <v>1</v>
      </c>
    </row>
    <row r="798" spans="1:197" x14ac:dyDescent="0.25">
      <c r="A798" t="s">
        <v>385</v>
      </c>
      <c r="B798" t="s">
        <v>40</v>
      </c>
      <c r="C798" s="3">
        <v>10.89</v>
      </c>
      <c r="D798" s="3">
        <v>-1.08</v>
      </c>
      <c r="E798" t="s">
        <v>34</v>
      </c>
      <c r="F798" t="s">
        <v>20</v>
      </c>
      <c r="G798" t="s">
        <v>106</v>
      </c>
      <c r="I798" t="s">
        <v>15</v>
      </c>
      <c r="J798" t="s">
        <v>12</v>
      </c>
      <c r="K798" t="s">
        <v>15</v>
      </c>
      <c r="L798" t="s">
        <v>386</v>
      </c>
      <c r="M798" t="s">
        <v>1004</v>
      </c>
      <c r="O798">
        <v>49.5</v>
      </c>
      <c r="GM798">
        <v>1</v>
      </c>
    </row>
    <row r="799" spans="1:197" x14ac:dyDescent="0.25">
      <c r="A799" t="s">
        <v>385</v>
      </c>
      <c r="B799" t="s">
        <v>40</v>
      </c>
      <c r="C799" s="3">
        <v>10.89</v>
      </c>
      <c r="D799" s="3">
        <v>-1.08</v>
      </c>
      <c r="E799" t="s">
        <v>34</v>
      </c>
      <c r="F799" t="s">
        <v>20</v>
      </c>
      <c r="G799" t="s">
        <v>106</v>
      </c>
      <c r="I799" t="s">
        <v>15</v>
      </c>
      <c r="J799" t="s">
        <v>12</v>
      </c>
      <c r="K799" t="s">
        <v>15</v>
      </c>
      <c r="L799" t="s">
        <v>386</v>
      </c>
      <c r="M799" t="s">
        <v>1004</v>
      </c>
      <c r="O799">
        <v>36</v>
      </c>
      <c r="GN799">
        <v>1</v>
      </c>
    </row>
    <row r="800" spans="1:197" x14ac:dyDescent="0.25">
      <c r="A800" t="s">
        <v>385</v>
      </c>
      <c r="B800" t="s">
        <v>40</v>
      </c>
      <c r="C800" s="3">
        <v>10.89</v>
      </c>
      <c r="D800" s="3">
        <v>-1.08</v>
      </c>
      <c r="E800" t="s">
        <v>34</v>
      </c>
      <c r="F800" t="s">
        <v>20</v>
      </c>
      <c r="G800" t="s">
        <v>106</v>
      </c>
      <c r="I800" t="s">
        <v>15</v>
      </c>
      <c r="J800" t="s">
        <v>12</v>
      </c>
      <c r="K800" t="s">
        <v>15</v>
      </c>
      <c r="L800" t="s">
        <v>386</v>
      </c>
      <c r="M800" t="s">
        <v>1004</v>
      </c>
      <c r="O800">
        <v>33.5</v>
      </c>
      <c r="GO800">
        <v>1</v>
      </c>
    </row>
    <row r="801" spans="1:213" x14ac:dyDescent="0.25">
      <c r="A801" t="s">
        <v>385</v>
      </c>
      <c r="B801" t="s">
        <v>40</v>
      </c>
      <c r="C801" s="3">
        <v>10.89</v>
      </c>
      <c r="D801" s="3">
        <v>-1.08</v>
      </c>
      <c r="E801" t="s">
        <v>34</v>
      </c>
      <c r="F801" t="s">
        <v>20</v>
      </c>
      <c r="G801" t="s">
        <v>106</v>
      </c>
      <c r="I801" t="s">
        <v>15</v>
      </c>
      <c r="J801" t="s">
        <v>12</v>
      </c>
      <c r="K801" t="s">
        <v>15</v>
      </c>
      <c r="L801" t="s">
        <v>386</v>
      </c>
      <c r="M801" t="s">
        <v>1004</v>
      </c>
      <c r="O801">
        <v>36</v>
      </c>
      <c r="GP801">
        <v>1</v>
      </c>
    </row>
    <row r="802" spans="1:213" x14ac:dyDescent="0.25">
      <c r="A802" t="s">
        <v>151</v>
      </c>
      <c r="B802" t="s">
        <v>152</v>
      </c>
      <c r="C802" s="3">
        <v>9.6199999999999992</v>
      </c>
      <c r="D802" s="3">
        <v>-13.59</v>
      </c>
      <c r="E802" t="s">
        <v>12</v>
      </c>
      <c r="F802" t="s">
        <v>20</v>
      </c>
      <c r="G802" t="s">
        <v>106</v>
      </c>
      <c r="I802" t="s">
        <v>12</v>
      </c>
      <c r="J802" t="s">
        <v>15</v>
      </c>
      <c r="K802" t="s">
        <v>15</v>
      </c>
      <c r="L802" t="s">
        <v>153</v>
      </c>
      <c r="M802" t="s">
        <v>1103</v>
      </c>
      <c r="N802" t="s">
        <v>154</v>
      </c>
      <c r="O802">
        <v>70.308999999999997</v>
      </c>
      <c r="P802">
        <v>35.792000000000002</v>
      </c>
      <c r="DU802">
        <v>0.5</v>
      </c>
      <c r="DV802">
        <v>0.5</v>
      </c>
    </row>
    <row r="803" spans="1:213" x14ac:dyDescent="0.25">
      <c r="A803" t="s">
        <v>246</v>
      </c>
      <c r="B803" t="s">
        <v>248</v>
      </c>
      <c r="C803" s="3">
        <f>47+30.6/60</f>
        <v>47.51</v>
      </c>
      <c r="D803" s="3">
        <f>19+1.8/60</f>
        <v>19.03</v>
      </c>
      <c r="E803" t="s">
        <v>15</v>
      </c>
      <c r="F803" t="s">
        <v>34</v>
      </c>
      <c r="G803" t="s">
        <v>76</v>
      </c>
      <c r="I803" t="s">
        <v>12</v>
      </c>
      <c r="J803" t="s">
        <v>12</v>
      </c>
      <c r="K803" t="s">
        <v>15</v>
      </c>
      <c r="L803" t="s">
        <v>249</v>
      </c>
      <c r="M803" t="s">
        <v>1066</v>
      </c>
      <c r="O803">
        <v>23</v>
      </c>
      <c r="GT803">
        <v>1</v>
      </c>
      <c r="GU803">
        <v>1</v>
      </c>
      <c r="GV803">
        <v>1</v>
      </c>
      <c r="GW803">
        <v>1</v>
      </c>
      <c r="GX803">
        <v>1</v>
      </c>
      <c r="GY803">
        <v>1</v>
      </c>
      <c r="GZ803">
        <v>1</v>
      </c>
      <c r="HA803">
        <v>1</v>
      </c>
      <c r="HB803">
        <v>1</v>
      </c>
      <c r="HC803">
        <v>1</v>
      </c>
      <c r="HD803">
        <v>1</v>
      </c>
      <c r="HE803">
        <v>1</v>
      </c>
    </row>
    <row r="804" spans="1:213" x14ac:dyDescent="0.25">
      <c r="A804" t="s">
        <v>263</v>
      </c>
      <c r="B804" t="s">
        <v>32</v>
      </c>
      <c r="C804" s="3">
        <v>27.17</v>
      </c>
      <c r="D804" s="3">
        <v>78</v>
      </c>
      <c r="E804" t="s">
        <v>12</v>
      </c>
      <c r="F804" t="s">
        <v>20</v>
      </c>
      <c r="G804" t="s">
        <v>106</v>
      </c>
      <c r="H804">
        <v>35</v>
      </c>
      <c r="I804" t="s">
        <v>12</v>
      </c>
      <c r="J804" t="s">
        <v>15</v>
      </c>
      <c r="K804" t="s">
        <v>15</v>
      </c>
      <c r="L804" t="s">
        <v>511</v>
      </c>
      <c r="M804" t="s">
        <v>942</v>
      </c>
      <c r="O804">
        <v>184.5</v>
      </c>
      <c r="P804">
        <v>30.4</v>
      </c>
      <c r="FZ804">
        <v>1</v>
      </c>
      <c r="GA804">
        <v>1</v>
      </c>
      <c r="GB804">
        <v>1</v>
      </c>
      <c r="GC804">
        <v>1</v>
      </c>
      <c r="GD804">
        <v>1</v>
      </c>
      <c r="GE804">
        <v>1</v>
      </c>
    </row>
    <row r="805" spans="1:213" x14ac:dyDescent="0.25">
      <c r="A805" t="s">
        <v>263</v>
      </c>
      <c r="B805" t="s">
        <v>32</v>
      </c>
      <c r="C805" s="3">
        <v>27.17</v>
      </c>
      <c r="D805" s="3">
        <v>78</v>
      </c>
      <c r="E805" t="s">
        <v>12</v>
      </c>
      <c r="F805" t="s">
        <v>34</v>
      </c>
      <c r="G805" t="s">
        <v>106</v>
      </c>
      <c r="H805">
        <v>35</v>
      </c>
      <c r="I805" t="s">
        <v>12</v>
      </c>
      <c r="J805" t="s">
        <v>15</v>
      </c>
      <c r="K805" t="s">
        <v>15</v>
      </c>
      <c r="L805" t="s">
        <v>511</v>
      </c>
      <c r="M805" t="s">
        <v>942</v>
      </c>
      <c r="O805">
        <v>231.9</v>
      </c>
      <c r="P805">
        <v>45.7</v>
      </c>
      <c r="FZ805">
        <v>1</v>
      </c>
      <c r="GA805">
        <v>1</v>
      </c>
      <c r="GB805">
        <v>1</v>
      </c>
      <c r="GC805">
        <v>1</v>
      </c>
      <c r="GD805">
        <v>1</v>
      </c>
      <c r="GE805">
        <v>1</v>
      </c>
    </row>
    <row r="806" spans="1:213" x14ac:dyDescent="0.25">
      <c r="A806" t="s">
        <v>263</v>
      </c>
      <c r="B806" t="s">
        <v>32</v>
      </c>
      <c r="C806" s="3">
        <v>27.17</v>
      </c>
      <c r="D806" s="3">
        <v>78</v>
      </c>
      <c r="E806" t="s">
        <v>12</v>
      </c>
      <c r="F806" t="s">
        <v>77</v>
      </c>
      <c r="G806" t="s">
        <v>106</v>
      </c>
      <c r="H806">
        <v>35</v>
      </c>
      <c r="I806" t="s">
        <v>12</v>
      </c>
      <c r="J806" t="s">
        <v>15</v>
      </c>
      <c r="K806" t="s">
        <v>15</v>
      </c>
      <c r="L806" t="s">
        <v>511</v>
      </c>
      <c r="M806" t="s">
        <v>942</v>
      </c>
      <c r="O806">
        <v>170.4</v>
      </c>
      <c r="P806">
        <v>54.9</v>
      </c>
      <c r="FZ806">
        <v>1</v>
      </c>
      <c r="GA806">
        <v>1</v>
      </c>
      <c r="GB806">
        <v>1</v>
      </c>
      <c r="GC806">
        <v>1</v>
      </c>
      <c r="GD806">
        <v>1</v>
      </c>
      <c r="GE806">
        <v>1</v>
      </c>
    </row>
    <row r="807" spans="1:213" x14ac:dyDescent="0.25">
      <c r="A807" t="s">
        <v>263</v>
      </c>
      <c r="B807" t="s">
        <v>32</v>
      </c>
      <c r="C807" s="3">
        <v>27.2</v>
      </c>
      <c r="D807" s="3">
        <v>77.989999999999995</v>
      </c>
      <c r="E807" t="s">
        <v>34</v>
      </c>
      <c r="F807" t="s">
        <v>20</v>
      </c>
      <c r="G807" t="s">
        <v>106</v>
      </c>
      <c r="H807">
        <v>35</v>
      </c>
      <c r="I807" t="s">
        <v>12</v>
      </c>
      <c r="J807" t="s">
        <v>12</v>
      </c>
      <c r="K807" t="s">
        <v>15</v>
      </c>
      <c r="L807" t="s">
        <v>510</v>
      </c>
      <c r="M807" t="s">
        <v>943</v>
      </c>
      <c r="O807">
        <v>80</v>
      </c>
      <c r="P807">
        <v>37.6</v>
      </c>
      <c r="EY807">
        <v>1</v>
      </c>
      <c r="EZ807">
        <v>1</v>
      </c>
      <c r="FA807">
        <v>1</v>
      </c>
      <c r="FB807">
        <v>1</v>
      </c>
    </row>
    <row r="808" spans="1:213" x14ac:dyDescent="0.25">
      <c r="A808" t="s">
        <v>263</v>
      </c>
      <c r="B808" t="s">
        <v>32</v>
      </c>
      <c r="C808" s="3">
        <v>27.2</v>
      </c>
      <c r="D808" s="3">
        <v>77.989999999999995</v>
      </c>
      <c r="E808" t="s">
        <v>34</v>
      </c>
      <c r="F808" t="s">
        <v>20</v>
      </c>
      <c r="G808" t="s">
        <v>106</v>
      </c>
      <c r="H808">
        <v>35</v>
      </c>
      <c r="I808" t="s">
        <v>12</v>
      </c>
      <c r="J808" t="s">
        <v>12</v>
      </c>
      <c r="K808" t="s">
        <v>15</v>
      </c>
      <c r="L808" t="s">
        <v>510</v>
      </c>
      <c r="M808" t="s">
        <v>943</v>
      </c>
      <c r="O808">
        <v>99.9</v>
      </c>
      <c r="P808">
        <v>51.1</v>
      </c>
      <c r="FC808">
        <v>1</v>
      </c>
      <c r="FD808">
        <v>1</v>
      </c>
      <c r="FE808">
        <v>1</v>
      </c>
      <c r="FF808">
        <v>1</v>
      </c>
    </row>
    <row r="809" spans="1:213" x14ac:dyDescent="0.25">
      <c r="A809" t="s">
        <v>263</v>
      </c>
      <c r="B809" t="s">
        <v>32</v>
      </c>
      <c r="C809" s="3">
        <v>27.2</v>
      </c>
      <c r="D809" s="3">
        <v>77.989999999999995</v>
      </c>
      <c r="E809" t="s">
        <v>34</v>
      </c>
      <c r="F809" t="s">
        <v>20</v>
      </c>
      <c r="G809" t="s">
        <v>106</v>
      </c>
      <c r="H809">
        <v>35</v>
      </c>
      <c r="I809" t="s">
        <v>12</v>
      </c>
      <c r="J809" t="s">
        <v>12</v>
      </c>
      <c r="K809" t="s">
        <v>15</v>
      </c>
      <c r="L809" t="s">
        <v>510</v>
      </c>
      <c r="M809" t="s">
        <v>943</v>
      </c>
      <c r="O809">
        <v>59.6</v>
      </c>
      <c r="P809">
        <v>20.6</v>
      </c>
      <c r="FG809">
        <v>1</v>
      </c>
      <c r="FH809">
        <v>1</v>
      </c>
      <c r="FI809">
        <v>1</v>
      </c>
      <c r="FJ809">
        <v>1</v>
      </c>
    </row>
    <row r="810" spans="1:213" x14ac:dyDescent="0.25">
      <c r="A810" t="s">
        <v>263</v>
      </c>
      <c r="B810" t="s">
        <v>32</v>
      </c>
      <c r="C810" s="3">
        <v>27.2</v>
      </c>
      <c r="D810" s="3">
        <v>77.989999999999995</v>
      </c>
      <c r="E810" t="s">
        <v>34</v>
      </c>
      <c r="F810" t="s">
        <v>20</v>
      </c>
      <c r="G810" t="s">
        <v>106</v>
      </c>
      <c r="H810">
        <v>35</v>
      </c>
      <c r="I810" t="s">
        <v>12</v>
      </c>
      <c r="J810" t="s">
        <v>12</v>
      </c>
      <c r="K810" t="s">
        <v>15</v>
      </c>
      <c r="L810" t="s">
        <v>510</v>
      </c>
      <c r="M810" t="s">
        <v>943</v>
      </c>
      <c r="O810">
        <v>34.5</v>
      </c>
      <c r="P810">
        <v>18.100000000000001</v>
      </c>
      <c r="FK810">
        <v>1</v>
      </c>
      <c r="FL810">
        <v>1</v>
      </c>
      <c r="FM810">
        <v>1</v>
      </c>
      <c r="FN810">
        <v>1</v>
      </c>
    </row>
    <row r="811" spans="1:213" x14ac:dyDescent="0.25">
      <c r="A811" t="s">
        <v>263</v>
      </c>
      <c r="B811" t="s">
        <v>32</v>
      </c>
      <c r="C811" s="3">
        <v>27.2</v>
      </c>
      <c r="D811" s="3">
        <v>77.989999999999995</v>
      </c>
      <c r="E811" t="s">
        <v>34</v>
      </c>
      <c r="F811" t="s">
        <v>20</v>
      </c>
      <c r="G811" t="s">
        <v>106</v>
      </c>
      <c r="H811">
        <v>35</v>
      </c>
      <c r="I811" t="s">
        <v>12</v>
      </c>
      <c r="J811" t="s">
        <v>12</v>
      </c>
      <c r="K811" t="s">
        <v>15</v>
      </c>
      <c r="L811" t="s">
        <v>510</v>
      </c>
      <c r="M811" t="s">
        <v>943</v>
      </c>
      <c r="O811">
        <v>127</v>
      </c>
      <c r="P811">
        <v>53.9</v>
      </c>
      <c r="FO811">
        <v>1</v>
      </c>
      <c r="FP811">
        <v>1</v>
      </c>
      <c r="FQ811">
        <v>1</v>
      </c>
      <c r="FR811">
        <v>1</v>
      </c>
    </row>
    <row r="812" spans="1:213" x14ac:dyDescent="0.25">
      <c r="A812" t="s">
        <v>263</v>
      </c>
      <c r="B812" t="s">
        <v>32</v>
      </c>
      <c r="C812" s="3">
        <v>27.18</v>
      </c>
      <c r="D812" s="3">
        <v>78</v>
      </c>
      <c r="E812" t="s">
        <v>34</v>
      </c>
      <c r="F812" t="s">
        <v>77</v>
      </c>
      <c r="G812" t="s">
        <v>106</v>
      </c>
      <c r="H812">
        <v>35</v>
      </c>
      <c r="I812" t="s">
        <v>12</v>
      </c>
      <c r="J812" t="s">
        <v>12</v>
      </c>
      <c r="K812" t="s">
        <v>15</v>
      </c>
      <c r="L812" t="s">
        <v>510</v>
      </c>
      <c r="M812" t="s">
        <v>943</v>
      </c>
      <c r="O812">
        <v>64.2</v>
      </c>
      <c r="P812">
        <v>33.6</v>
      </c>
      <c r="EY812">
        <v>1</v>
      </c>
      <c r="EZ812">
        <v>1</v>
      </c>
      <c r="FA812">
        <v>1</v>
      </c>
      <c r="FB812">
        <v>1</v>
      </c>
    </row>
    <row r="813" spans="1:213" x14ac:dyDescent="0.25">
      <c r="A813" t="s">
        <v>263</v>
      </c>
      <c r="B813" t="s">
        <v>32</v>
      </c>
      <c r="C813" s="3">
        <v>27.18</v>
      </c>
      <c r="D813" s="3">
        <v>78</v>
      </c>
      <c r="E813" t="s">
        <v>34</v>
      </c>
      <c r="F813" t="s">
        <v>77</v>
      </c>
      <c r="G813" t="s">
        <v>106</v>
      </c>
      <c r="H813">
        <v>35</v>
      </c>
      <c r="I813" t="s">
        <v>12</v>
      </c>
      <c r="J813" t="s">
        <v>12</v>
      </c>
      <c r="K813" t="s">
        <v>15</v>
      </c>
      <c r="L813" t="s">
        <v>510</v>
      </c>
      <c r="M813" t="s">
        <v>943</v>
      </c>
      <c r="O813">
        <v>136.4</v>
      </c>
      <c r="P813">
        <v>36</v>
      </c>
      <c r="FC813">
        <v>1</v>
      </c>
      <c r="FD813">
        <v>1</v>
      </c>
      <c r="FE813">
        <v>1</v>
      </c>
      <c r="FF813">
        <v>1</v>
      </c>
    </row>
    <row r="814" spans="1:213" x14ac:dyDescent="0.25">
      <c r="A814" t="s">
        <v>263</v>
      </c>
      <c r="B814" t="s">
        <v>32</v>
      </c>
      <c r="C814" s="3">
        <v>27.18</v>
      </c>
      <c r="D814" s="3">
        <v>78</v>
      </c>
      <c r="E814" t="s">
        <v>34</v>
      </c>
      <c r="F814" t="s">
        <v>77</v>
      </c>
      <c r="G814" t="s">
        <v>106</v>
      </c>
      <c r="H814">
        <v>35</v>
      </c>
      <c r="I814" t="s">
        <v>12</v>
      </c>
      <c r="J814" t="s">
        <v>12</v>
      </c>
      <c r="K814" t="s">
        <v>15</v>
      </c>
      <c r="L814" t="s">
        <v>510</v>
      </c>
      <c r="M814" t="s">
        <v>943</v>
      </c>
      <c r="O814">
        <v>64.2</v>
      </c>
      <c r="P814">
        <v>29.5</v>
      </c>
      <c r="FG814">
        <v>1</v>
      </c>
      <c r="FH814">
        <v>1</v>
      </c>
      <c r="FI814">
        <v>1</v>
      </c>
      <c r="FJ814">
        <v>1</v>
      </c>
    </row>
    <row r="815" spans="1:213" x14ac:dyDescent="0.25">
      <c r="A815" t="s">
        <v>263</v>
      </c>
      <c r="B815" t="s">
        <v>32</v>
      </c>
      <c r="C815" s="3">
        <v>27.18</v>
      </c>
      <c r="D815" s="3">
        <v>78</v>
      </c>
      <c r="E815" t="s">
        <v>34</v>
      </c>
      <c r="F815" t="s">
        <v>77</v>
      </c>
      <c r="G815" t="s">
        <v>106</v>
      </c>
      <c r="H815">
        <v>35</v>
      </c>
      <c r="I815" t="s">
        <v>12</v>
      </c>
      <c r="J815" t="s">
        <v>12</v>
      </c>
      <c r="K815" t="s">
        <v>15</v>
      </c>
      <c r="L815" t="s">
        <v>510</v>
      </c>
      <c r="M815" t="s">
        <v>943</v>
      </c>
      <c r="O815">
        <v>69.900000000000006</v>
      </c>
      <c r="P815">
        <v>33.200000000000003</v>
      </c>
      <c r="FK815">
        <v>1</v>
      </c>
      <c r="FL815">
        <v>1</v>
      </c>
      <c r="FM815">
        <v>1</v>
      </c>
      <c r="FN815">
        <v>1</v>
      </c>
    </row>
    <row r="816" spans="1:213" x14ac:dyDescent="0.25">
      <c r="A816" t="s">
        <v>263</v>
      </c>
      <c r="B816" t="s">
        <v>32</v>
      </c>
      <c r="C816" s="3">
        <v>27.18</v>
      </c>
      <c r="D816" s="3">
        <v>78</v>
      </c>
      <c r="E816" t="s">
        <v>34</v>
      </c>
      <c r="F816" t="s">
        <v>77</v>
      </c>
      <c r="G816" t="s">
        <v>106</v>
      </c>
      <c r="H816">
        <v>35</v>
      </c>
      <c r="I816" t="s">
        <v>12</v>
      </c>
      <c r="J816" t="s">
        <v>12</v>
      </c>
      <c r="K816" t="s">
        <v>15</v>
      </c>
      <c r="L816" t="s">
        <v>510</v>
      </c>
      <c r="M816" t="s">
        <v>943</v>
      </c>
      <c r="O816">
        <v>144.19999999999999</v>
      </c>
      <c r="P816">
        <v>48.5</v>
      </c>
      <c r="FO816">
        <v>1</v>
      </c>
      <c r="FP816">
        <v>1</v>
      </c>
      <c r="FQ816">
        <v>1</v>
      </c>
      <c r="FR816">
        <v>1</v>
      </c>
    </row>
    <row r="817" spans="1:212" x14ac:dyDescent="0.25">
      <c r="A817" t="s">
        <v>263</v>
      </c>
      <c r="B817" t="s">
        <v>32</v>
      </c>
      <c r="C817" s="3">
        <f t="shared" ref="C817:C825" si="20">27+10/60</f>
        <v>27.166666666666668</v>
      </c>
      <c r="D817" s="3">
        <f t="shared" ref="D817:D825" si="21">78+2/60</f>
        <v>78.033333333333331</v>
      </c>
      <c r="E817" t="s">
        <v>12</v>
      </c>
      <c r="F817" t="s">
        <v>34</v>
      </c>
      <c r="G817" t="s">
        <v>106</v>
      </c>
      <c r="I817" t="s">
        <v>12</v>
      </c>
      <c r="J817" t="s">
        <v>12</v>
      </c>
      <c r="K817" t="s">
        <v>12</v>
      </c>
      <c r="L817" t="s">
        <v>439</v>
      </c>
      <c r="M817" t="s">
        <v>982</v>
      </c>
      <c r="O817">
        <v>212</v>
      </c>
      <c r="P817">
        <v>47</v>
      </c>
      <c r="FS817">
        <v>1</v>
      </c>
      <c r="FT817">
        <v>1</v>
      </c>
      <c r="FU817">
        <v>1</v>
      </c>
      <c r="FV817">
        <v>1</v>
      </c>
      <c r="GE817">
        <v>1</v>
      </c>
    </row>
    <row r="818" spans="1:212" x14ac:dyDescent="0.25">
      <c r="A818" t="s">
        <v>263</v>
      </c>
      <c r="B818" t="s">
        <v>32</v>
      </c>
      <c r="C818" s="3">
        <f t="shared" si="20"/>
        <v>27.166666666666668</v>
      </c>
      <c r="D818" s="3">
        <f t="shared" si="21"/>
        <v>78.033333333333331</v>
      </c>
      <c r="E818" t="s">
        <v>12</v>
      </c>
      <c r="F818" t="s">
        <v>34</v>
      </c>
      <c r="G818" t="s">
        <v>106</v>
      </c>
      <c r="I818" t="s">
        <v>12</v>
      </c>
      <c r="J818" t="s">
        <v>12</v>
      </c>
      <c r="K818" t="s">
        <v>12</v>
      </c>
      <c r="L818" t="s">
        <v>439</v>
      </c>
      <c r="M818" t="s">
        <v>982</v>
      </c>
      <c r="O818">
        <v>112</v>
      </c>
      <c r="P818">
        <v>27</v>
      </c>
      <c r="FO818">
        <v>1</v>
      </c>
      <c r="FP818">
        <v>1</v>
      </c>
      <c r="FQ818">
        <v>1</v>
      </c>
      <c r="FR818">
        <v>1</v>
      </c>
      <c r="FW818">
        <v>1</v>
      </c>
      <c r="FX818">
        <v>1</v>
      </c>
      <c r="FY818">
        <v>1</v>
      </c>
      <c r="FZ818">
        <v>1</v>
      </c>
    </row>
    <row r="819" spans="1:212" x14ac:dyDescent="0.25">
      <c r="A819" t="s">
        <v>263</v>
      </c>
      <c r="B819" t="s">
        <v>32</v>
      </c>
      <c r="C819" s="3">
        <f t="shared" si="20"/>
        <v>27.166666666666668</v>
      </c>
      <c r="D819" s="3">
        <f t="shared" si="21"/>
        <v>78.033333333333331</v>
      </c>
      <c r="E819" t="s">
        <v>12</v>
      </c>
      <c r="F819" t="s">
        <v>34</v>
      </c>
      <c r="G819" t="s">
        <v>106</v>
      </c>
      <c r="I819" t="s">
        <v>12</v>
      </c>
      <c r="J819" t="s">
        <v>12</v>
      </c>
      <c r="K819" t="s">
        <v>12</v>
      </c>
      <c r="L819" t="s">
        <v>439</v>
      </c>
      <c r="M819" t="s">
        <v>982</v>
      </c>
      <c r="O819">
        <v>125</v>
      </c>
      <c r="P819">
        <v>42</v>
      </c>
      <c r="FN819">
        <v>1</v>
      </c>
      <c r="GA819">
        <v>1</v>
      </c>
      <c r="GB819">
        <v>1</v>
      </c>
      <c r="GC819">
        <v>1</v>
      </c>
      <c r="GD819">
        <v>1</v>
      </c>
    </row>
    <row r="820" spans="1:212" x14ac:dyDescent="0.25">
      <c r="A820" t="s">
        <v>263</v>
      </c>
      <c r="B820" t="s">
        <v>32</v>
      </c>
      <c r="C820" s="3">
        <f t="shared" si="20"/>
        <v>27.166666666666668</v>
      </c>
      <c r="D820" s="3">
        <f t="shared" si="21"/>
        <v>78.033333333333331</v>
      </c>
      <c r="E820" t="s">
        <v>12</v>
      </c>
      <c r="F820" t="s">
        <v>77</v>
      </c>
      <c r="G820" t="s">
        <v>106</v>
      </c>
      <c r="I820" t="s">
        <v>12</v>
      </c>
      <c r="J820" t="s">
        <v>12</v>
      </c>
      <c r="K820" t="s">
        <v>12</v>
      </c>
      <c r="L820" t="s">
        <v>439</v>
      </c>
      <c r="M820" t="s">
        <v>982</v>
      </c>
      <c r="O820">
        <v>157</v>
      </c>
      <c r="P820">
        <v>26</v>
      </c>
      <c r="FS820">
        <v>1</v>
      </c>
      <c r="FT820">
        <v>1</v>
      </c>
      <c r="FU820">
        <v>1</v>
      </c>
      <c r="FV820">
        <v>1</v>
      </c>
      <c r="GE820">
        <v>1</v>
      </c>
    </row>
    <row r="821" spans="1:212" x14ac:dyDescent="0.25">
      <c r="A821" t="s">
        <v>263</v>
      </c>
      <c r="B821" t="s">
        <v>32</v>
      </c>
      <c r="C821" s="3">
        <f t="shared" si="20"/>
        <v>27.166666666666668</v>
      </c>
      <c r="D821" s="3">
        <f t="shared" si="21"/>
        <v>78.033333333333331</v>
      </c>
      <c r="E821" t="s">
        <v>12</v>
      </c>
      <c r="F821" t="s">
        <v>77</v>
      </c>
      <c r="G821" t="s">
        <v>106</v>
      </c>
      <c r="I821" t="s">
        <v>12</v>
      </c>
      <c r="J821" t="s">
        <v>12</v>
      </c>
      <c r="K821" t="s">
        <v>12</v>
      </c>
      <c r="L821" t="s">
        <v>439</v>
      </c>
      <c r="M821" t="s">
        <v>982</v>
      </c>
      <c r="O821">
        <v>100</v>
      </c>
      <c r="P821">
        <v>45</v>
      </c>
      <c r="FO821">
        <v>1</v>
      </c>
      <c r="FP821">
        <v>1</v>
      </c>
      <c r="FQ821">
        <v>1</v>
      </c>
      <c r="FR821">
        <v>1</v>
      </c>
      <c r="FW821">
        <v>1</v>
      </c>
      <c r="FX821">
        <v>1</v>
      </c>
      <c r="FY821">
        <v>1</v>
      </c>
      <c r="FZ821">
        <v>1</v>
      </c>
    </row>
    <row r="822" spans="1:212" x14ac:dyDescent="0.25">
      <c r="A822" t="s">
        <v>263</v>
      </c>
      <c r="B822" t="s">
        <v>32</v>
      </c>
      <c r="C822" s="3">
        <f t="shared" si="20"/>
        <v>27.166666666666668</v>
      </c>
      <c r="D822" s="3">
        <f t="shared" si="21"/>
        <v>78.033333333333331</v>
      </c>
      <c r="E822" t="s">
        <v>12</v>
      </c>
      <c r="F822" t="s">
        <v>77</v>
      </c>
      <c r="G822" t="s">
        <v>106</v>
      </c>
      <c r="I822" t="s">
        <v>12</v>
      </c>
      <c r="J822" t="s">
        <v>12</v>
      </c>
      <c r="K822" t="s">
        <v>12</v>
      </c>
      <c r="L822" t="s">
        <v>439</v>
      </c>
      <c r="M822" t="s">
        <v>982</v>
      </c>
      <c r="O822">
        <v>91</v>
      </c>
      <c r="P822">
        <v>34</v>
      </c>
      <c r="FN822">
        <v>1</v>
      </c>
      <c r="GA822">
        <v>1</v>
      </c>
      <c r="GB822">
        <v>1</v>
      </c>
      <c r="GC822">
        <v>1</v>
      </c>
      <c r="GD822">
        <v>1</v>
      </c>
    </row>
    <row r="823" spans="1:212" x14ac:dyDescent="0.25">
      <c r="A823" t="s">
        <v>263</v>
      </c>
      <c r="B823" t="s">
        <v>32</v>
      </c>
      <c r="C823" s="3">
        <f t="shared" si="20"/>
        <v>27.166666666666668</v>
      </c>
      <c r="D823" s="3">
        <f t="shared" si="21"/>
        <v>78.033333333333331</v>
      </c>
      <c r="E823" t="s">
        <v>12</v>
      </c>
      <c r="F823" t="s">
        <v>20</v>
      </c>
      <c r="G823" t="s">
        <v>106</v>
      </c>
      <c r="I823" t="s">
        <v>12</v>
      </c>
      <c r="J823" t="s">
        <v>12</v>
      </c>
      <c r="K823" t="s">
        <v>12</v>
      </c>
      <c r="L823" t="s">
        <v>438</v>
      </c>
      <c r="M823" t="s">
        <v>983</v>
      </c>
      <c r="O823">
        <f>AVERAGE(196.16,71.39,148.678,124.19,113.08)</f>
        <v>130.6996</v>
      </c>
      <c r="P823">
        <f>STDEV(196.16,71.39,148.678,124.19,113.08)</f>
        <v>46.040038779305952</v>
      </c>
      <c r="FS823">
        <v>1</v>
      </c>
      <c r="FT823">
        <v>1</v>
      </c>
      <c r="FU823">
        <v>1</v>
      </c>
      <c r="FV823">
        <v>1</v>
      </c>
      <c r="GE823">
        <v>1</v>
      </c>
    </row>
    <row r="824" spans="1:212" x14ac:dyDescent="0.25">
      <c r="A824" t="s">
        <v>263</v>
      </c>
      <c r="B824" t="s">
        <v>32</v>
      </c>
      <c r="C824" s="3">
        <f t="shared" si="20"/>
        <v>27.166666666666668</v>
      </c>
      <c r="D824" s="3">
        <f t="shared" si="21"/>
        <v>78.033333333333331</v>
      </c>
      <c r="E824" t="s">
        <v>12</v>
      </c>
      <c r="F824" t="s">
        <v>20</v>
      </c>
      <c r="G824" t="s">
        <v>106</v>
      </c>
      <c r="I824" t="s">
        <v>12</v>
      </c>
      <c r="J824" t="s">
        <v>12</v>
      </c>
      <c r="K824" t="s">
        <v>12</v>
      </c>
      <c r="L824" t="s">
        <v>438</v>
      </c>
      <c r="M824" t="s">
        <v>983</v>
      </c>
      <c r="O824">
        <f>AVERAGE(80.64,45,120.37,55.94,90.94)</f>
        <v>78.578000000000003</v>
      </c>
      <c r="P824">
        <f>STDEV(80.64,45,120.37,55.94,90.94)</f>
        <v>29.764086077015715</v>
      </c>
      <c r="FW824">
        <v>1</v>
      </c>
      <c r="FX824">
        <v>1</v>
      </c>
      <c r="FY824">
        <v>1</v>
      </c>
      <c r="FZ824">
        <v>1</v>
      </c>
    </row>
    <row r="825" spans="1:212" x14ac:dyDescent="0.25">
      <c r="A825" t="s">
        <v>263</v>
      </c>
      <c r="B825" t="s">
        <v>32</v>
      </c>
      <c r="C825" s="3">
        <f t="shared" si="20"/>
        <v>27.166666666666668</v>
      </c>
      <c r="D825" s="3">
        <f t="shared" si="21"/>
        <v>78.033333333333331</v>
      </c>
      <c r="E825" t="s">
        <v>12</v>
      </c>
      <c r="F825" t="s">
        <v>20</v>
      </c>
      <c r="G825" t="s">
        <v>106</v>
      </c>
      <c r="I825" t="s">
        <v>12</v>
      </c>
      <c r="J825" t="s">
        <v>12</v>
      </c>
      <c r="K825" t="s">
        <v>12</v>
      </c>
      <c r="L825" t="s">
        <v>438</v>
      </c>
      <c r="M825" t="s">
        <v>983</v>
      </c>
      <c r="O825">
        <f>AVERAGE(42.03,66.94,30.94,18.62,20.21)</f>
        <v>35.748000000000005</v>
      </c>
      <c r="P825">
        <f>STDEV(42.03,66.94,30.94,18.62,20.21)</f>
        <v>19.813625867064303</v>
      </c>
      <c r="GA825">
        <v>1</v>
      </c>
      <c r="GB825">
        <v>1</v>
      </c>
      <c r="GC825">
        <v>1</v>
      </c>
      <c r="GD825">
        <v>1</v>
      </c>
    </row>
    <row r="826" spans="1:212" x14ac:dyDescent="0.25">
      <c r="A826" t="s">
        <v>263</v>
      </c>
      <c r="B826" t="s">
        <v>32</v>
      </c>
      <c r="C826" s="3">
        <v>27.21</v>
      </c>
      <c r="D826" s="3">
        <v>78.010000000000005</v>
      </c>
      <c r="E826" t="s">
        <v>34</v>
      </c>
      <c r="F826" t="s">
        <v>21</v>
      </c>
      <c r="G826" t="s">
        <v>76</v>
      </c>
      <c r="H826">
        <v>25</v>
      </c>
      <c r="I826" t="s">
        <v>15</v>
      </c>
      <c r="J826" t="s">
        <v>12</v>
      </c>
      <c r="K826" t="s">
        <v>15</v>
      </c>
      <c r="L826" t="s">
        <v>379</v>
      </c>
      <c r="M826" t="s">
        <v>1009</v>
      </c>
      <c r="O826">
        <v>116.6</v>
      </c>
      <c r="GX826">
        <v>1</v>
      </c>
      <c r="GY826">
        <v>1</v>
      </c>
      <c r="GZ826">
        <v>1</v>
      </c>
      <c r="HA826">
        <v>1</v>
      </c>
      <c r="HB826">
        <v>1</v>
      </c>
    </row>
    <row r="827" spans="1:212" x14ac:dyDescent="0.25">
      <c r="A827" t="s">
        <v>263</v>
      </c>
      <c r="B827" t="s">
        <v>32</v>
      </c>
      <c r="C827" s="3">
        <v>27.21</v>
      </c>
      <c r="D827" s="3">
        <v>78.010000000000005</v>
      </c>
      <c r="E827" t="s">
        <v>34</v>
      </c>
      <c r="F827" t="s">
        <v>21</v>
      </c>
      <c r="G827" t="s">
        <v>76</v>
      </c>
      <c r="H827">
        <v>25</v>
      </c>
      <c r="I827" t="s">
        <v>15</v>
      </c>
      <c r="J827" t="s">
        <v>12</v>
      </c>
      <c r="K827" t="s">
        <v>15</v>
      </c>
      <c r="L827" t="s">
        <v>379</v>
      </c>
      <c r="M827" t="s">
        <v>1009</v>
      </c>
      <c r="O827">
        <v>72.2</v>
      </c>
      <c r="GS827">
        <v>1</v>
      </c>
      <c r="GT827">
        <v>1</v>
      </c>
      <c r="HC827">
        <v>1</v>
      </c>
      <c r="HD827">
        <v>1</v>
      </c>
    </row>
    <row r="828" spans="1:212" x14ac:dyDescent="0.25">
      <c r="A828" t="s">
        <v>263</v>
      </c>
      <c r="B828" t="s">
        <v>32</v>
      </c>
      <c r="C828" s="3">
        <v>27.21</v>
      </c>
      <c r="D828" s="3">
        <v>78.010000000000005</v>
      </c>
      <c r="E828" t="s">
        <v>34</v>
      </c>
      <c r="F828" t="s">
        <v>21</v>
      </c>
      <c r="G828" t="s">
        <v>76</v>
      </c>
      <c r="H828">
        <v>25</v>
      </c>
      <c r="I828" t="s">
        <v>15</v>
      </c>
      <c r="J828" t="s">
        <v>12</v>
      </c>
      <c r="K828" t="s">
        <v>15</v>
      </c>
      <c r="L828" t="s">
        <v>379</v>
      </c>
      <c r="M828" t="s">
        <v>1009</v>
      </c>
      <c r="O828">
        <v>39.200000000000003</v>
      </c>
      <c r="GU828">
        <v>1</v>
      </c>
      <c r="GV828">
        <v>1</v>
      </c>
      <c r="GW828">
        <v>1</v>
      </c>
    </row>
    <row r="829" spans="1:212" x14ac:dyDescent="0.25">
      <c r="A829" t="s">
        <v>263</v>
      </c>
      <c r="B829" t="s">
        <v>32</v>
      </c>
      <c r="C829" s="3">
        <f>27+10/60</f>
        <v>27.166666666666668</v>
      </c>
      <c r="D829" s="3">
        <f>78+2/60</f>
        <v>78.033333333333331</v>
      </c>
      <c r="E829" t="s">
        <v>12</v>
      </c>
      <c r="F829" t="s">
        <v>34</v>
      </c>
      <c r="G829" t="s">
        <v>277</v>
      </c>
      <c r="H829">
        <v>35</v>
      </c>
      <c r="I829" t="s">
        <v>12</v>
      </c>
      <c r="J829" t="s">
        <v>12</v>
      </c>
      <c r="K829" t="s">
        <v>15</v>
      </c>
      <c r="L829" t="s">
        <v>362</v>
      </c>
      <c r="M829" t="s">
        <v>1020</v>
      </c>
      <c r="O829">
        <v>90.14</v>
      </c>
      <c r="GR829">
        <v>1</v>
      </c>
      <c r="GS829">
        <v>1</v>
      </c>
      <c r="GT829">
        <v>1</v>
      </c>
    </row>
    <row r="830" spans="1:212" x14ac:dyDescent="0.25">
      <c r="A830" t="s">
        <v>263</v>
      </c>
      <c r="B830" t="s">
        <v>32</v>
      </c>
      <c r="C830" s="3">
        <f>27+10/60</f>
        <v>27.166666666666668</v>
      </c>
      <c r="D830" s="3">
        <f>78+2/60</f>
        <v>78.033333333333331</v>
      </c>
      <c r="E830" t="s">
        <v>12</v>
      </c>
      <c r="F830" t="s">
        <v>77</v>
      </c>
      <c r="G830" t="s">
        <v>106</v>
      </c>
      <c r="H830">
        <v>35</v>
      </c>
      <c r="I830" t="s">
        <v>12</v>
      </c>
      <c r="J830" t="s">
        <v>12</v>
      </c>
      <c r="K830" t="s">
        <v>15</v>
      </c>
      <c r="L830" t="s">
        <v>362</v>
      </c>
      <c r="M830" t="s">
        <v>1020</v>
      </c>
      <c r="O830">
        <v>89.12</v>
      </c>
      <c r="GR830">
        <v>1</v>
      </c>
      <c r="GS830">
        <v>1</v>
      </c>
      <c r="GT830">
        <v>1</v>
      </c>
    </row>
    <row r="831" spans="1:212" x14ac:dyDescent="0.25">
      <c r="A831" t="s">
        <v>263</v>
      </c>
      <c r="B831" t="s">
        <v>32</v>
      </c>
      <c r="C831" s="3">
        <v>27.17</v>
      </c>
      <c r="D831" s="3">
        <v>78</v>
      </c>
      <c r="E831" t="s">
        <v>12</v>
      </c>
      <c r="F831" t="s">
        <v>21</v>
      </c>
      <c r="G831" t="s">
        <v>76</v>
      </c>
      <c r="I831" t="s">
        <v>12</v>
      </c>
      <c r="J831" t="s">
        <v>15</v>
      </c>
      <c r="K831" t="s">
        <v>15</v>
      </c>
      <c r="L831" t="s">
        <v>264</v>
      </c>
      <c r="M831" t="s">
        <v>1057</v>
      </c>
      <c r="O831">
        <v>136</v>
      </c>
      <c r="P831">
        <v>84</v>
      </c>
      <c r="ES831">
        <v>1</v>
      </c>
      <c r="ET831">
        <v>1</v>
      </c>
      <c r="EU831">
        <v>1</v>
      </c>
      <c r="EV831">
        <v>1</v>
      </c>
      <c r="EW831">
        <v>1</v>
      </c>
      <c r="EX831">
        <v>1</v>
      </c>
      <c r="EY831">
        <v>1</v>
      </c>
      <c r="EZ831">
        <v>1</v>
      </c>
      <c r="FA831">
        <v>1</v>
      </c>
      <c r="FB831">
        <v>1</v>
      </c>
      <c r="FC831">
        <v>1</v>
      </c>
      <c r="FD831">
        <v>1</v>
      </c>
      <c r="FE831">
        <v>1</v>
      </c>
      <c r="FF831">
        <v>1</v>
      </c>
      <c r="FG831">
        <v>1</v>
      </c>
      <c r="FH831">
        <v>1</v>
      </c>
      <c r="FI831">
        <v>1</v>
      </c>
      <c r="FJ831">
        <v>1</v>
      </c>
      <c r="FK831">
        <v>1</v>
      </c>
      <c r="FL831">
        <v>1</v>
      </c>
      <c r="FM831">
        <v>1</v>
      </c>
      <c r="FN831">
        <v>1</v>
      </c>
      <c r="FO831">
        <v>1</v>
      </c>
      <c r="FP831">
        <v>1</v>
      </c>
    </row>
    <row r="832" spans="1:212" x14ac:dyDescent="0.25">
      <c r="A832" t="s">
        <v>331</v>
      </c>
      <c r="B832" t="s">
        <v>32</v>
      </c>
      <c r="C832" s="3">
        <v>23.03</v>
      </c>
      <c r="D832" s="3">
        <v>72.56</v>
      </c>
      <c r="E832" t="s">
        <v>12</v>
      </c>
      <c r="F832" t="s">
        <v>19</v>
      </c>
      <c r="G832" t="s">
        <v>341</v>
      </c>
      <c r="H832">
        <v>45</v>
      </c>
      <c r="I832" t="s">
        <v>15</v>
      </c>
      <c r="J832" t="s">
        <v>15</v>
      </c>
      <c r="K832" t="s">
        <v>15</v>
      </c>
      <c r="L832" t="s">
        <v>332</v>
      </c>
      <c r="M832" t="s">
        <v>1031</v>
      </c>
      <c r="O832">
        <v>55.7</v>
      </c>
      <c r="P832">
        <v>17</v>
      </c>
      <c r="FD832">
        <v>1</v>
      </c>
    </row>
    <row r="833" spans="1:208" x14ac:dyDescent="0.25">
      <c r="A833" t="s">
        <v>345</v>
      </c>
      <c r="B833" t="s">
        <v>32</v>
      </c>
      <c r="C833" s="3">
        <v>14.62</v>
      </c>
      <c r="D833" s="3">
        <v>77.650000000000006</v>
      </c>
      <c r="E833" t="s">
        <v>15</v>
      </c>
      <c r="F833" t="s">
        <v>8</v>
      </c>
      <c r="G833" t="s">
        <v>76</v>
      </c>
      <c r="I833" t="s">
        <v>15</v>
      </c>
      <c r="J833" t="s">
        <v>12</v>
      </c>
      <c r="K833" t="s">
        <v>12</v>
      </c>
      <c r="L833" t="s">
        <v>346</v>
      </c>
      <c r="M833" t="s">
        <v>1028</v>
      </c>
      <c r="N833" t="s">
        <v>347</v>
      </c>
      <c r="O833">
        <f>5.5/0.063</f>
        <v>87.301587301587304</v>
      </c>
      <c r="GO833">
        <v>1</v>
      </c>
    </row>
    <row r="834" spans="1:208" x14ac:dyDescent="0.25">
      <c r="A834" t="s">
        <v>345</v>
      </c>
      <c r="B834" t="s">
        <v>32</v>
      </c>
      <c r="C834" s="3">
        <v>14.62</v>
      </c>
      <c r="D834" s="3">
        <v>77.650000000000006</v>
      </c>
      <c r="E834" t="s">
        <v>15</v>
      </c>
      <c r="F834" t="s">
        <v>8</v>
      </c>
      <c r="G834" t="s">
        <v>76</v>
      </c>
      <c r="I834" t="s">
        <v>15</v>
      </c>
      <c r="J834" t="s">
        <v>12</v>
      </c>
      <c r="K834" t="s">
        <v>12</v>
      </c>
      <c r="L834" t="s">
        <v>346</v>
      </c>
      <c r="M834" t="s">
        <v>1028</v>
      </c>
      <c r="N834" t="s">
        <v>347</v>
      </c>
      <c r="O834">
        <f>4.6/0.063</f>
        <v>73.015873015873012</v>
      </c>
      <c r="GP834">
        <v>1</v>
      </c>
    </row>
    <row r="835" spans="1:208" x14ac:dyDescent="0.25">
      <c r="A835" t="s">
        <v>345</v>
      </c>
      <c r="B835" t="s">
        <v>32</v>
      </c>
      <c r="C835" s="3">
        <v>14.62</v>
      </c>
      <c r="D835" s="3">
        <v>77.650000000000006</v>
      </c>
      <c r="E835" t="s">
        <v>15</v>
      </c>
      <c r="F835" t="s">
        <v>8</v>
      </c>
      <c r="G835" t="s">
        <v>76</v>
      </c>
      <c r="I835" t="s">
        <v>15</v>
      </c>
      <c r="J835" t="s">
        <v>12</v>
      </c>
      <c r="K835" t="s">
        <v>12</v>
      </c>
      <c r="L835" t="s">
        <v>346</v>
      </c>
      <c r="M835" t="s">
        <v>1028</v>
      </c>
      <c r="N835" t="s">
        <v>347</v>
      </c>
      <c r="O835">
        <f>3.9/0.046</f>
        <v>84.782608695652172</v>
      </c>
      <c r="GQ835">
        <v>1</v>
      </c>
    </row>
    <row r="836" spans="1:208" x14ac:dyDescent="0.25">
      <c r="A836" t="s">
        <v>345</v>
      </c>
      <c r="B836" t="s">
        <v>32</v>
      </c>
      <c r="C836" s="3">
        <v>14.62</v>
      </c>
      <c r="D836" s="3">
        <v>77.650000000000006</v>
      </c>
      <c r="E836" t="s">
        <v>15</v>
      </c>
      <c r="F836" t="s">
        <v>8</v>
      </c>
      <c r="G836" t="s">
        <v>76</v>
      </c>
      <c r="I836" t="s">
        <v>15</v>
      </c>
      <c r="J836" t="s">
        <v>12</v>
      </c>
      <c r="K836" t="s">
        <v>12</v>
      </c>
      <c r="L836" t="s">
        <v>346</v>
      </c>
      <c r="M836" t="s">
        <v>1028</v>
      </c>
      <c r="N836" t="s">
        <v>347</v>
      </c>
      <c r="O836">
        <f>3.7/0.057</f>
        <v>64.912280701754383</v>
      </c>
      <c r="GR836">
        <v>1</v>
      </c>
    </row>
    <row r="837" spans="1:208" x14ac:dyDescent="0.25">
      <c r="A837" t="s">
        <v>345</v>
      </c>
      <c r="B837" t="s">
        <v>32</v>
      </c>
      <c r="C837" s="3">
        <v>14.62</v>
      </c>
      <c r="D837" s="3">
        <v>77.650000000000006</v>
      </c>
      <c r="E837" t="s">
        <v>15</v>
      </c>
      <c r="F837" t="s">
        <v>8</v>
      </c>
      <c r="G837" t="s">
        <v>76</v>
      </c>
      <c r="I837" t="s">
        <v>15</v>
      </c>
      <c r="J837" t="s">
        <v>12</v>
      </c>
      <c r="K837" t="s">
        <v>12</v>
      </c>
      <c r="L837" t="s">
        <v>346</v>
      </c>
      <c r="M837" t="s">
        <v>1028</v>
      </c>
      <c r="N837" t="s">
        <v>347</v>
      </c>
      <c r="O837">
        <f>2.4/0.053</f>
        <v>45.283018867924525</v>
      </c>
      <c r="GS837">
        <v>1</v>
      </c>
    </row>
    <row r="838" spans="1:208" x14ac:dyDescent="0.25">
      <c r="A838" t="s">
        <v>345</v>
      </c>
      <c r="B838" t="s">
        <v>32</v>
      </c>
      <c r="C838" s="3">
        <v>14.62</v>
      </c>
      <c r="D838" s="3">
        <v>77.650000000000006</v>
      </c>
      <c r="E838" t="s">
        <v>15</v>
      </c>
      <c r="F838" t="s">
        <v>8</v>
      </c>
      <c r="G838" t="s">
        <v>76</v>
      </c>
      <c r="I838" t="s">
        <v>15</v>
      </c>
      <c r="J838" t="s">
        <v>12</v>
      </c>
      <c r="K838" t="s">
        <v>12</v>
      </c>
      <c r="L838" t="s">
        <v>346</v>
      </c>
      <c r="M838" t="s">
        <v>1028</v>
      </c>
      <c r="N838" t="s">
        <v>347</v>
      </c>
      <c r="O838">
        <f>1.4/0.038</f>
        <v>36.84210526315789</v>
      </c>
      <c r="GT838">
        <v>1</v>
      </c>
    </row>
    <row r="839" spans="1:208" x14ac:dyDescent="0.25">
      <c r="A839" t="s">
        <v>345</v>
      </c>
      <c r="B839" t="s">
        <v>32</v>
      </c>
      <c r="C839" s="3">
        <v>14.62</v>
      </c>
      <c r="D839" s="3">
        <v>77.650000000000006</v>
      </c>
      <c r="E839" t="s">
        <v>15</v>
      </c>
      <c r="F839" t="s">
        <v>8</v>
      </c>
      <c r="G839" t="s">
        <v>76</v>
      </c>
      <c r="I839" t="s">
        <v>15</v>
      </c>
      <c r="J839" t="s">
        <v>12</v>
      </c>
      <c r="K839" t="s">
        <v>12</v>
      </c>
      <c r="L839" t="s">
        <v>346</v>
      </c>
      <c r="M839" t="s">
        <v>1028</v>
      </c>
      <c r="N839" t="s">
        <v>347</v>
      </c>
      <c r="O839">
        <f>1.4/0.033</f>
        <v>42.424242424242422</v>
      </c>
      <c r="GU839">
        <v>1</v>
      </c>
    </row>
    <row r="840" spans="1:208" x14ac:dyDescent="0.25">
      <c r="A840" t="s">
        <v>345</v>
      </c>
      <c r="B840" t="s">
        <v>32</v>
      </c>
      <c r="C840" s="3">
        <v>14.62</v>
      </c>
      <c r="D840" s="3">
        <v>77.650000000000006</v>
      </c>
      <c r="E840" t="s">
        <v>15</v>
      </c>
      <c r="F840" t="s">
        <v>8</v>
      </c>
      <c r="G840" t="s">
        <v>76</v>
      </c>
      <c r="I840" t="s">
        <v>15</v>
      </c>
      <c r="J840" t="s">
        <v>12</v>
      </c>
      <c r="K840" t="s">
        <v>12</v>
      </c>
      <c r="L840" t="s">
        <v>346</v>
      </c>
      <c r="M840" t="s">
        <v>1028</v>
      </c>
      <c r="N840" t="s">
        <v>347</v>
      </c>
      <c r="O840">
        <f>1.7/0.037</f>
        <v>45.945945945945944</v>
      </c>
      <c r="GV840">
        <v>1</v>
      </c>
    </row>
    <row r="841" spans="1:208" x14ac:dyDescent="0.25">
      <c r="A841" t="s">
        <v>345</v>
      </c>
      <c r="B841" t="s">
        <v>32</v>
      </c>
      <c r="C841" s="3">
        <v>14.62</v>
      </c>
      <c r="D841" s="3">
        <v>77.650000000000006</v>
      </c>
      <c r="E841" t="s">
        <v>15</v>
      </c>
      <c r="F841" t="s">
        <v>8</v>
      </c>
      <c r="G841" t="s">
        <v>76</v>
      </c>
      <c r="I841" t="s">
        <v>15</v>
      </c>
      <c r="J841" t="s">
        <v>12</v>
      </c>
      <c r="K841" t="s">
        <v>12</v>
      </c>
      <c r="L841" t="s">
        <v>346</v>
      </c>
      <c r="M841" t="s">
        <v>1028</v>
      </c>
      <c r="N841" t="s">
        <v>347</v>
      </c>
      <c r="O841">
        <f>1.6/0.035</f>
        <v>45.714285714285715</v>
      </c>
      <c r="GW841">
        <v>1</v>
      </c>
    </row>
    <row r="842" spans="1:208" x14ac:dyDescent="0.25">
      <c r="A842" t="s">
        <v>345</v>
      </c>
      <c r="B842" t="s">
        <v>32</v>
      </c>
      <c r="C842" s="3">
        <v>14.62</v>
      </c>
      <c r="D842" s="3">
        <v>77.650000000000006</v>
      </c>
      <c r="E842" t="s">
        <v>15</v>
      </c>
      <c r="F842" t="s">
        <v>8</v>
      </c>
      <c r="G842" t="s">
        <v>76</v>
      </c>
      <c r="I842" t="s">
        <v>15</v>
      </c>
      <c r="J842" t="s">
        <v>12</v>
      </c>
      <c r="K842" t="s">
        <v>12</v>
      </c>
      <c r="L842" t="s">
        <v>346</v>
      </c>
      <c r="M842" t="s">
        <v>1028</v>
      </c>
      <c r="N842" t="s">
        <v>347</v>
      </c>
      <c r="O842">
        <f>2.9/0.039</f>
        <v>74.358974358974351</v>
      </c>
      <c r="GX842">
        <v>1</v>
      </c>
    </row>
    <row r="843" spans="1:208" x14ac:dyDescent="0.25">
      <c r="A843" t="s">
        <v>345</v>
      </c>
      <c r="B843" t="s">
        <v>32</v>
      </c>
      <c r="C843" s="3">
        <v>14.62</v>
      </c>
      <c r="D843" s="3">
        <v>77.650000000000006</v>
      </c>
      <c r="E843" t="s">
        <v>15</v>
      </c>
      <c r="F843" t="s">
        <v>8</v>
      </c>
      <c r="G843" t="s">
        <v>76</v>
      </c>
      <c r="I843" t="s">
        <v>15</v>
      </c>
      <c r="J843" t="s">
        <v>12</v>
      </c>
      <c r="K843" t="s">
        <v>12</v>
      </c>
      <c r="L843" t="s">
        <v>346</v>
      </c>
      <c r="M843" t="s">
        <v>1028</v>
      </c>
      <c r="N843" t="s">
        <v>347</v>
      </c>
      <c r="O843">
        <f>2.5/0.028</f>
        <v>89.285714285714278</v>
      </c>
      <c r="GY843">
        <v>1</v>
      </c>
    </row>
    <row r="844" spans="1:208" x14ac:dyDescent="0.25">
      <c r="A844" t="s">
        <v>345</v>
      </c>
      <c r="B844" t="s">
        <v>32</v>
      </c>
      <c r="C844" s="3">
        <v>14.62</v>
      </c>
      <c r="D844" s="3">
        <v>77.650000000000006</v>
      </c>
      <c r="E844" t="s">
        <v>15</v>
      </c>
      <c r="F844" t="s">
        <v>8</v>
      </c>
      <c r="G844" t="s">
        <v>76</v>
      </c>
      <c r="I844" t="s">
        <v>15</v>
      </c>
      <c r="J844" t="s">
        <v>12</v>
      </c>
      <c r="K844" t="s">
        <v>12</v>
      </c>
      <c r="L844" t="s">
        <v>346</v>
      </c>
      <c r="M844" t="s">
        <v>1028</v>
      </c>
      <c r="N844" t="s">
        <v>347</v>
      </c>
      <c r="O844">
        <f>4.7/0.062</f>
        <v>75.806451612903231</v>
      </c>
      <c r="GZ844">
        <v>1</v>
      </c>
    </row>
    <row r="845" spans="1:208" x14ac:dyDescent="0.25">
      <c r="A845" t="s">
        <v>299</v>
      </c>
      <c r="B845" t="s">
        <v>32</v>
      </c>
      <c r="C845" s="3">
        <v>-6.55</v>
      </c>
      <c r="D845" s="3">
        <v>107.36</v>
      </c>
      <c r="E845" t="s">
        <v>15</v>
      </c>
      <c r="F845" t="s">
        <v>77</v>
      </c>
      <c r="G845" t="s">
        <v>106</v>
      </c>
      <c r="I845" t="s">
        <v>12</v>
      </c>
      <c r="J845" t="s">
        <v>12</v>
      </c>
      <c r="K845" t="s">
        <v>12</v>
      </c>
      <c r="L845" t="s">
        <v>560</v>
      </c>
      <c r="M845" t="s">
        <v>906</v>
      </c>
      <c r="O845">
        <v>16.14</v>
      </c>
      <c r="P845">
        <v>11.59</v>
      </c>
      <c r="CW845">
        <v>1</v>
      </c>
      <c r="CX845">
        <v>1</v>
      </c>
      <c r="CY845">
        <v>1</v>
      </c>
      <c r="CZ845">
        <v>1</v>
      </c>
      <c r="DA845">
        <v>1</v>
      </c>
      <c r="DB845">
        <v>1</v>
      </c>
      <c r="DC845">
        <v>1</v>
      </c>
      <c r="DD845">
        <v>1</v>
      </c>
      <c r="DE845">
        <v>1</v>
      </c>
      <c r="DF845">
        <v>1</v>
      </c>
      <c r="DG845">
        <v>1</v>
      </c>
      <c r="DH845">
        <v>1</v>
      </c>
      <c r="DI845">
        <v>1</v>
      </c>
      <c r="DJ845">
        <v>1</v>
      </c>
      <c r="DK845">
        <v>1</v>
      </c>
      <c r="DL845">
        <v>1</v>
      </c>
      <c r="DM845">
        <v>1</v>
      </c>
      <c r="DN845">
        <v>1</v>
      </c>
      <c r="DO845">
        <v>1</v>
      </c>
      <c r="DP845">
        <v>1</v>
      </c>
      <c r="DQ845">
        <v>1</v>
      </c>
      <c r="DR845">
        <v>1</v>
      </c>
      <c r="DS845">
        <v>1</v>
      </c>
      <c r="DT845">
        <v>1</v>
      </c>
      <c r="DU845">
        <v>1</v>
      </c>
      <c r="DV845">
        <v>1</v>
      </c>
      <c r="DW845">
        <v>1</v>
      </c>
      <c r="DX845">
        <v>1</v>
      </c>
      <c r="DY845">
        <v>1</v>
      </c>
      <c r="DZ845">
        <v>1</v>
      </c>
      <c r="EA845">
        <v>1</v>
      </c>
      <c r="EB845">
        <v>1</v>
      </c>
      <c r="EC845">
        <v>1</v>
      </c>
      <c r="ED845">
        <v>1</v>
      </c>
      <c r="EE845">
        <v>1</v>
      </c>
      <c r="EF845">
        <v>1</v>
      </c>
      <c r="EG845">
        <v>1</v>
      </c>
      <c r="EH845">
        <v>1</v>
      </c>
      <c r="EI845">
        <v>1</v>
      </c>
      <c r="EJ845">
        <v>1</v>
      </c>
      <c r="EK845">
        <v>1</v>
      </c>
      <c r="EL845">
        <v>1</v>
      </c>
      <c r="EM845">
        <v>1</v>
      </c>
      <c r="EN845">
        <v>1</v>
      </c>
      <c r="EO845">
        <v>1</v>
      </c>
      <c r="EP845">
        <v>1</v>
      </c>
      <c r="EQ845">
        <v>1</v>
      </c>
      <c r="ER845">
        <v>1</v>
      </c>
    </row>
    <row r="846" spans="1:208" x14ac:dyDescent="0.25">
      <c r="A846" t="s">
        <v>711</v>
      </c>
      <c r="B846" t="s">
        <v>32</v>
      </c>
      <c r="C846" s="3">
        <v>12.94</v>
      </c>
      <c r="D846" s="3">
        <v>77.62</v>
      </c>
      <c r="E846" t="s">
        <v>12</v>
      </c>
      <c r="F846" t="s">
        <v>21</v>
      </c>
      <c r="G846" t="s">
        <v>712</v>
      </c>
      <c r="I846" t="s">
        <v>12</v>
      </c>
      <c r="J846" t="s">
        <v>12</v>
      </c>
      <c r="K846" t="s">
        <v>12</v>
      </c>
      <c r="L846" t="s">
        <v>757</v>
      </c>
      <c r="M846" t="s">
        <v>815</v>
      </c>
      <c r="O846">
        <v>53</v>
      </c>
      <c r="FY846">
        <v>1</v>
      </c>
      <c r="FZ846">
        <v>1</v>
      </c>
      <c r="GA846">
        <v>1</v>
      </c>
      <c r="GB846">
        <v>1</v>
      </c>
      <c r="GC846">
        <v>1</v>
      </c>
      <c r="GD846">
        <v>1</v>
      </c>
      <c r="GE846">
        <v>1</v>
      </c>
      <c r="GF846">
        <v>1</v>
      </c>
      <c r="GG846">
        <v>1</v>
      </c>
    </row>
    <row r="847" spans="1:208" x14ac:dyDescent="0.25">
      <c r="A847" t="s">
        <v>711</v>
      </c>
      <c r="B847" t="s">
        <v>32</v>
      </c>
      <c r="C847" s="3">
        <v>12.93</v>
      </c>
      <c r="D847" s="3">
        <v>77.61</v>
      </c>
      <c r="E847" t="s">
        <v>12</v>
      </c>
      <c r="F847" t="s">
        <v>21</v>
      </c>
      <c r="G847" t="s">
        <v>712</v>
      </c>
      <c r="I847" t="s">
        <v>12</v>
      </c>
      <c r="J847" t="s">
        <v>12</v>
      </c>
      <c r="K847" t="s">
        <v>12</v>
      </c>
      <c r="L847" t="s">
        <v>757</v>
      </c>
      <c r="M847" t="s">
        <v>815</v>
      </c>
      <c r="O847">
        <v>71</v>
      </c>
      <c r="FY847">
        <v>1</v>
      </c>
      <c r="FZ847">
        <v>1</v>
      </c>
      <c r="GA847">
        <v>1</v>
      </c>
      <c r="GB847">
        <v>1</v>
      </c>
      <c r="GC847">
        <v>1</v>
      </c>
      <c r="GD847">
        <v>1</v>
      </c>
      <c r="GE847">
        <v>1</v>
      </c>
      <c r="GF847">
        <v>1</v>
      </c>
      <c r="GG847">
        <v>1</v>
      </c>
    </row>
    <row r="848" spans="1:208" x14ac:dyDescent="0.25">
      <c r="A848" t="s">
        <v>356</v>
      </c>
      <c r="B848" t="s">
        <v>32</v>
      </c>
      <c r="C848" s="3">
        <v>25.7</v>
      </c>
      <c r="D848" s="3">
        <v>91.9</v>
      </c>
      <c r="E848" t="s">
        <v>15</v>
      </c>
      <c r="F848" t="s">
        <v>20</v>
      </c>
      <c r="G848" t="s">
        <v>106</v>
      </c>
      <c r="H848">
        <v>37</v>
      </c>
      <c r="I848" t="s">
        <v>15</v>
      </c>
      <c r="J848" t="s">
        <v>12</v>
      </c>
      <c r="K848" t="s">
        <v>12</v>
      </c>
      <c r="L848" t="s">
        <v>357</v>
      </c>
      <c r="M848" t="s">
        <v>1023</v>
      </c>
      <c r="O848">
        <f>(41*91+10*120)/51</f>
        <v>96.686274509803923</v>
      </c>
      <c r="GE848">
        <v>1</v>
      </c>
      <c r="GO848">
        <v>1</v>
      </c>
      <c r="GQ848">
        <v>1</v>
      </c>
    </row>
    <row r="849" spans="1:206" x14ac:dyDescent="0.25">
      <c r="A849" t="s">
        <v>254</v>
      </c>
      <c r="B849" t="s">
        <v>32</v>
      </c>
      <c r="C849" s="3">
        <v>13.05</v>
      </c>
      <c r="D849" s="3">
        <v>80.25</v>
      </c>
      <c r="E849" t="s">
        <v>12</v>
      </c>
      <c r="F849" t="s">
        <v>77</v>
      </c>
      <c r="G849" t="s">
        <v>76</v>
      </c>
      <c r="H849">
        <v>40</v>
      </c>
      <c r="I849" t="s">
        <v>15</v>
      </c>
      <c r="J849" t="s">
        <v>15</v>
      </c>
      <c r="K849" t="s">
        <v>15</v>
      </c>
      <c r="L849" t="s">
        <v>390</v>
      </c>
      <c r="M849" t="s">
        <v>1002</v>
      </c>
      <c r="O849">
        <v>42</v>
      </c>
      <c r="CO849">
        <v>1</v>
      </c>
      <c r="CP849">
        <v>1</v>
      </c>
      <c r="CQ849">
        <v>1</v>
      </c>
      <c r="CR849">
        <v>1</v>
      </c>
      <c r="CS849">
        <v>1</v>
      </c>
      <c r="CT849">
        <v>1</v>
      </c>
      <c r="DA849">
        <v>1</v>
      </c>
      <c r="DB849">
        <v>1</v>
      </c>
      <c r="DC849">
        <v>1</v>
      </c>
      <c r="DD849">
        <v>1</v>
      </c>
      <c r="DE849">
        <v>1</v>
      </c>
      <c r="DF849">
        <v>1</v>
      </c>
      <c r="DM849">
        <v>1</v>
      </c>
      <c r="DN849">
        <v>1</v>
      </c>
      <c r="DO849">
        <v>1</v>
      </c>
      <c r="DP849">
        <v>1</v>
      </c>
      <c r="DQ849">
        <v>1</v>
      </c>
      <c r="DR849">
        <v>1</v>
      </c>
      <c r="DY849">
        <v>1</v>
      </c>
      <c r="DZ849">
        <v>1</v>
      </c>
      <c r="EA849">
        <v>1</v>
      </c>
      <c r="EB849">
        <v>1</v>
      </c>
      <c r="EC849">
        <v>1</v>
      </c>
      <c r="ED849">
        <v>1</v>
      </c>
    </row>
    <row r="850" spans="1:206" x14ac:dyDescent="0.25">
      <c r="A850" t="s">
        <v>254</v>
      </c>
      <c r="B850" t="s">
        <v>32</v>
      </c>
      <c r="C850" s="3">
        <v>13.05</v>
      </c>
      <c r="D850" s="3">
        <v>80.25</v>
      </c>
      <c r="E850" t="s">
        <v>12</v>
      </c>
      <c r="F850" t="s">
        <v>77</v>
      </c>
      <c r="G850" t="s">
        <v>76</v>
      </c>
      <c r="H850">
        <v>40</v>
      </c>
      <c r="I850" t="s">
        <v>15</v>
      </c>
      <c r="J850" t="s">
        <v>15</v>
      </c>
      <c r="K850" t="s">
        <v>15</v>
      </c>
      <c r="L850" t="s">
        <v>390</v>
      </c>
      <c r="M850" t="s">
        <v>1002</v>
      </c>
      <c r="O850">
        <v>46</v>
      </c>
      <c r="CK850">
        <v>1</v>
      </c>
      <c r="CL850">
        <v>1</v>
      </c>
      <c r="CM850">
        <v>1</v>
      </c>
      <c r="CN850">
        <v>1</v>
      </c>
      <c r="CU850">
        <v>1</v>
      </c>
      <c r="CV850">
        <v>1</v>
      </c>
      <c r="CW850">
        <v>1</v>
      </c>
      <c r="CX850">
        <v>1</v>
      </c>
      <c r="CY850">
        <v>1</v>
      </c>
      <c r="CZ850">
        <v>1</v>
      </c>
      <c r="DG850">
        <v>1</v>
      </c>
      <c r="DH850">
        <v>1</v>
      </c>
      <c r="DI850">
        <v>1</v>
      </c>
      <c r="DJ850">
        <v>1</v>
      </c>
      <c r="DK850">
        <v>1</v>
      </c>
      <c r="DL850">
        <v>1</v>
      </c>
      <c r="DS850">
        <v>1</v>
      </c>
      <c r="DT850">
        <v>1</v>
      </c>
      <c r="DU850">
        <v>1</v>
      </c>
      <c r="DV850">
        <v>1</v>
      </c>
      <c r="DW850">
        <v>1</v>
      </c>
      <c r="DX850">
        <v>1</v>
      </c>
      <c r="EE850">
        <v>1</v>
      </c>
      <c r="EF850">
        <v>1</v>
      </c>
    </row>
    <row r="851" spans="1:206" x14ac:dyDescent="0.25">
      <c r="A851" t="s">
        <v>254</v>
      </c>
      <c r="B851" t="s">
        <v>32</v>
      </c>
      <c r="C851" s="3">
        <v>13</v>
      </c>
      <c r="D851" s="3">
        <v>80.239999999999995</v>
      </c>
      <c r="E851" t="s">
        <v>34</v>
      </c>
      <c r="F851" t="s">
        <v>77</v>
      </c>
      <c r="G851" t="s">
        <v>97</v>
      </c>
      <c r="H851">
        <v>45</v>
      </c>
      <c r="I851" t="s">
        <v>12</v>
      </c>
      <c r="J851" t="s">
        <v>12</v>
      </c>
      <c r="K851" t="s">
        <v>12</v>
      </c>
      <c r="L851" t="s">
        <v>255</v>
      </c>
      <c r="M851" t="s">
        <v>1061</v>
      </c>
      <c r="O851">
        <v>83.91</v>
      </c>
      <c r="P851">
        <v>33.18</v>
      </c>
      <c r="FO851">
        <v>1</v>
      </c>
      <c r="FP851">
        <v>1</v>
      </c>
    </row>
    <row r="852" spans="1:206" x14ac:dyDescent="0.25">
      <c r="A852" t="s">
        <v>254</v>
      </c>
      <c r="B852" t="s">
        <v>32</v>
      </c>
      <c r="C852" s="3">
        <v>13</v>
      </c>
      <c r="D852" s="3">
        <v>80.239999999999995</v>
      </c>
      <c r="E852" t="s">
        <v>34</v>
      </c>
      <c r="F852" t="s">
        <v>77</v>
      </c>
      <c r="G852" t="s">
        <v>97</v>
      </c>
      <c r="H852">
        <v>45</v>
      </c>
      <c r="I852" t="s">
        <v>12</v>
      </c>
      <c r="J852" t="s">
        <v>12</v>
      </c>
      <c r="K852" t="s">
        <v>12</v>
      </c>
      <c r="L852" t="s">
        <v>255</v>
      </c>
      <c r="M852" t="s">
        <v>1061</v>
      </c>
      <c r="O852">
        <v>72.95</v>
      </c>
      <c r="P852">
        <v>39.270000000000003</v>
      </c>
      <c r="FQ852">
        <v>1</v>
      </c>
      <c r="FR852">
        <v>1</v>
      </c>
    </row>
    <row r="853" spans="1:206" x14ac:dyDescent="0.25">
      <c r="A853" t="s">
        <v>254</v>
      </c>
      <c r="B853" t="s">
        <v>32</v>
      </c>
      <c r="C853" s="3">
        <v>13</v>
      </c>
      <c r="D853" s="3">
        <v>80.239999999999995</v>
      </c>
      <c r="E853" t="s">
        <v>34</v>
      </c>
      <c r="F853" t="s">
        <v>77</v>
      </c>
      <c r="G853" t="s">
        <v>97</v>
      </c>
      <c r="H853">
        <v>45</v>
      </c>
      <c r="I853" t="s">
        <v>12</v>
      </c>
      <c r="J853" t="s">
        <v>12</v>
      </c>
      <c r="K853" t="s">
        <v>12</v>
      </c>
      <c r="L853" t="s">
        <v>255</v>
      </c>
      <c r="M853" t="s">
        <v>1061</v>
      </c>
      <c r="O853">
        <v>50.69</v>
      </c>
      <c r="P853">
        <v>25.89</v>
      </c>
      <c r="FS853">
        <v>1</v>
      </c>
      <c r="FT853">
        <v>1</v>
      </c>
      <c r="FU853">
        <v>1</v>
      </c>
    </row>
    <row r="854" spans="1:206" x14ac:dyDescent="0.25">
      <c r="A854" t="s">
        <v>254</v>
      </c>
      <c r="B854" t="s">
        <v>32</v>
      </c>
      <c r="C854" s="3">
        <v>13</v>
      </c>
      <c r="D854" s="3">
        <v>80.239999999999995</v>
      </c>
      <c r="E854" t="s">
        <v>34</v>
      </c>
      <c r="F854" t="s">
        <v>77</v>
      </c>
      <c r="G854" t="s">
        <v>97</v>
      </c>
      <c r="H854">
        <v>45</v>
      </c>
      <c r="I854" t="s">
        <v>12</v>
      </c>
      <c r="J854" t="s">
        <v>12</v>
      </c>
      <c r="K854" t="s">
        <v>12</v>
      </c>
      <c r="L854" t="s">
        <v>255</v>
      </c>
      <c r="M854" t="s">
        <v>1061</v>
      </c>
      <c r="O854">
        <v>67.569999999999993</v>
      </c>
      <c r="P854">
        <v>39.119999999999997</v>
      </c>
      <c r="FZ854">
        <v>1</v>
      </c>
      <c r="GA854">
        <v>1</v>
      </c>
      <c r="GB854">
        <v>1</v>
      </c>
    </row>
    <row r="855" spans="1:206" x14ac:dyDescent="0.25">
      <c r="A855" t="s">
        <v>254</v>
      </c>
      <c r="B855" t="s">
        <v>32</v>
      </c>
      <c r="C855" s="3">
        <v>13</v>
      </c>
      <c r="D855" s="3">
        <v>80.239999999999995</v>
      </c>
      <c r="E855" t="s">
        <v>34</v>
      </c>
      <c r="F855" t="s">
        <v>77</v>
      </c>
      <c r="G855" t="s">
        <v>97</v>
      </c>
      <c r="H855">
        <v>45</v>
      </c>
      <c r="I855" t="s">
        <v>12</v>
      </c>
      <c r="J855" t="s">
        <v>12</v>
      </c>
      <c r="K855" t="s">
        <v>12</v>
      </c>
      <c r="L855" t="s">
        <v>255</v>
      </c>
      <c r="M855" t="s">
        <v>1061</v>
      </c>
      <c r="O855">
        <v>66.900000000000006</v>
      </c>
      <c r="P855">
        <v>31.98</v>
      </c>
      <c r="GC855">
        <v>1</v>
      </c>
      <c r="GD855">
        <v>1</v>
      </c>
    </row>
    <row r="856" spans="1:206" x14ac:dyDescent="0.25">
      <c r="A856" t="s">
        <v>254</v>
      </c>
      <c r="B856" t="s">
        <v>32</v>
      </c>
      <c r="C856" s="3">
        <v>13</v>
      </c>
      <c r="D856" s="3">
        <v>80.239999999999995</v>
      </c>
      <c r="E856" t="s">
        <v>34</v>
      </c>
      <c r="F856" t="s">
        <v>77</v>
      </c>
      <c r="G856" t="s">
        <v>97</v>
      </c>
      <c r="H856">
        <v>45</v>
      </c>
      <c r="I856" t="s">
        <v>12</v>
      </c>
      <c r="J856" t="s">
        <v>12</v>
      </c>
      <c r="K856" t="s">
        <v>12</v>
      </c>
      <c r="L856" t="s">
        <v>255</v>
      </c>
      <c r="M856" t="s">
        <v>1061</v>
      </c>
      <c r="O856">
        <v>42.16</v>
      </c>
      <c r="P856">
        <v>19.760000000000002</v>
      </c>
      <c r="GE856">
        <v>1</v>
      </c>
      <c r="GF856">
        <v>1</v>
      </c>
      <c r="GG856">
        <v>1</v>
      </c>
    </row>
    <row r="857" spans="1:206" x14ac:dyDescent="0.25">
      <c r="A857" t="s">
        <v>739</v>
      </c>
      <c r="B857" t="s">
        <v>32</v>
      </c>
      <c r="C857" s="3">
        <v>28.633333333333333</v>
      </c>
      <c r="D857" s="3">
        <v>77.2</v>
      </c>
      <c r="E857" t="s">
        <v>12</v>
      </c>
      <c r="F857" t="s">
        <v>77</v>
      </c>
      <c r="G857" t="s">
        <v>740</v>
      </c>
      <c r="I857" t="s">
        <v>15</v>
      </c>
      <c r="J857" t="s">
        <v>15</v>
      </c>
      <c r="K857" t="s">
        <v>15</v>
      </c>
      <c r="L857" t="s">
        <v>777</v>
      </c>
      <c r="M857" t="s">
        <v>836</v>
      </c>
      <c r="O857">
        <v>138.42499999999998</v>
      </c>
      <c r="P857">
        <v>3.3142269083452929</v>
      </c>
      <c r="CM857">
        <v>1</v>
      </c>
      <c r="CN857">
        <v>1</v>
      </c>
      <c r="CO857">
        <v>1</v>
      </c>
      <c r="CP857">
        <v>1</v>
      </c>
      <c r="CQ857">
        <v>1</v>
      </c>
      <c r="CR857">
        <v>1</v>
      </c>
      <c r="CS857">
        <v>1</v>
      </c>
      <c r="CT857">
        <v>1</v>
      </c>
      <c r="CU857">
        <v>1</v>
      </c>
      <c r="CV857">
        <v>1</v>
      </c>
      <c r="CW857">
        <v>1</v>
      </c>
    </row>
    <row r="858" spans="1:206" x14ac:dyDescent="0.25">
      <c r="A858" t="s">
        <v>213</v>
      </c>
      <c r="B858" t="s">
        <v>32</v>
      </c>
      <c r="C858" s="3">
        <v>28.63</v>
      </c>
      <c r="D858" s="3">
        <v>77.22</v>
      </c>
      <c r="E858" t="s">
        <v>12</v>
      </c>
      <c r="F858" t="s">
        <v>8</v>
      </c>
      <c r="G858" t="s">
        <v>214</v>
      </c>
      <c r="I858" t="s">
        <v>12</v>
      </c>
      <c r="J858" t="s">
        <v>12</v>
      </c>
      <c r="K858" t="s">
        <v>12</v>
      </c>
      <c r="L858" t="s">
        <v>541</v>
      </c>
      <c r="M858" t="s">
        <v>923</v>
      </c>
      <c r="O858">
        <f>AVERAGE(85,113,117)</f>
        <v>105</v>
      </c>
      <c r="GX858">
        <v>1</v>
      </c>
    </row>
    <row r="859" spans="1:206" x14ac:dyDescent="0.25">
      <c r="A859" t="s">
        <v>213</v>
      </c>
      <c r="B859" t="s">
        <v>32</v>
      </c>
      <c r="C859" s="3">
        <v>28.38</v>
      </c>
      <c r="D859" s="3">
        <v>77.12</v>
      </c>
      <c r="E859" t="s">
        <v>12</v>
      </c>
      <c r="F859" t="s">
        <v>8</v>
      </c>
      <c r="G859" t="s">
        <v>505</v>
      </c>
      <c r="I859" t="s">
        <v>12</v>
      </c>
      <c r="J859" t="s">
        <v>12</v>
      </c>
      <c r="K859" t="s">
        <v>12</v>
      </c>
      <c r="L859" t="s">
        <v>506</v>
      </c>
      <c r="M859" t="s">
        <v>945</v>
      </c>
      <c r="O859">
        <v>82.9</v>
      </c>
      <c r="P859">
        <v>38.799999999999997</v>
      </c>
      <c r="DO859">
        <v>0.5</v>
      </c>
      <c r="DP859">
        <v>1</v>
      </c>
      <c r="DQ859">
        <v>1</v>
      </c>
      <c r="DR859">
        <v>1</v>
      </c>
      <c r="DS859">
        <v>1</v>
      </c>
      <c r="DT859">
        <v>0.25</v>
      </c>
    </row>
    <row r="860" spans="1:206" x14ac:dyDescent="0.25">
      <c r="A860" t="s">
        <v>213</v>
      </c>
      <c r="B860" t="s">
        <v>32</v>
      </c>
      <c r="C860" s="3">
        <v>28.6</v>
      </c>
      <c r="D860" s="3">
        <v>77.2</v>
      </c>
      <c r="E860" t="s">
        <v>12</v>
      </c>
      <c r="F860" t="s">
        <v>77</v>
      </c>
      <c r="G860" t="s">
        <v>97</v>
      </c>
      <c r="I860" t="s">
        <v>12</v>
      </c>
      <c r="J860" t="s">
        <v>12</v>
      </c>
      <c r="K860" t="s">
        <v>12</v>
      </c>
      <c r="L860" t="s">
        <v>253</v>
      </c>
      <c r="M860" t="s">
        <v>1062</v>
      </c>
      <c r="O860">
        <v>147.41999999999999</v>
      </c>
      <c r="FP860">
        <v>1</v>
      </c>
    </row>
    <row r="861" spans="1:206" x14ac:dyDescent="0.25">
      <c r="A861" t="s">
        <v>213</v>
      </c>
      <c r="B861" t="s">
        <v>32</v>
      </c>
      <c r="C861" s="3">
        <v>28.6</v>
      </c>
      <c r="D861" s="3">
        <v>77.2</v>
      </c>
      <c r="E861" t="s">
        <v>12</v>
      </c>
      <c r="F861" t="s">
        <v>77</v>
      </c>
      <c r="G861" t="s">
        <v>97</v>
      </c>
      <c r="I861" t="s">
        <v>12</v>
      </c>
      <c r="J861" t="s">
        <v>12</v>
      </c>
      <c r="K861" t="s">
        <v>12</v>
      </c>
      <c r="L861" t="s">
        <v>253</v>
      </c>
      <c r="M861" t="s">
        <v>1062</v>
      </c>
      <c r="O861">
        <v>82.85</v>
      </c>
      <c r="FQ861">
        <v>1</v>
      </c>
    </row>
    <row r="862" spans="1:206" x14ac:dyDescent="0.25">
      <c r="A862" t="s">
        <v>213</v>
      </c>
      <c r="B862" t="s">
        <v>32</v>
      </c>
      <c r="C862" s="3">
        <v>28.6</v>
      </c>
      <c r="D862" s="3">
        <v>77.2</v>
      </c>
      <c r="E862" t="s">
        <v>12</v>
      </c>
      <c r="F862" t="s">
        <v>77</v>
      </c>
      <c r="G862" t="s">
        <v>97</v>
      </c>
      <c r="I862" t="s">
        <v>12</v>
      </c>
      <c r="J862" t="s">
        <v>12</v>
      </c>
      <c r="K862" t="s">
        <v>12</v>
      </c>
      <c r="L862" t="s">
        <v>253</v>
      </c>
      <c r="M862" t="s">
        <v>1062</v>
      </c>
      <c r="O862">
        <v>122.38</v>
      </c>
      <c r="FR862">
        <v>1</v>
      </c>
    </row>
    <row r="863" spans="1:206" x14ac:dyDescent="0.25">
      <c r="A863" t="s">
        <v>213</v>
      </c>
      <c r="B863" t="s">
        <v>32</v>
      </c>
      <c r="C863" s="3">
        <v>28.6</v>
      </c>
      <c r="D863" s="3">
        <v>77.2</v>
      </c>
      <c r="E863" t="s">
        <v>12</v>
      </c>
      <c r="F863" t="s">
        <v>77</v>
      </c>
      <c r="G863" t="s">
        <v>97</v>
      </c>
      <c r="I863" t="s">
        <v>12</v>
      </c>
      <c r="J863" t="s">
        <v>12</v>
      </c>
      <c r="K863" t="s">
        <v>12</v>
      </c>
      <c r="L863" t="s">
        <v>253</v>
      </c>
      <c r="M863" t="s">
        <v>1062</v>
      </c>
      <c r="O863">
        <v>61.87</v>
      </c>
      <c r="FS863">
        <v>1</v>
      </c>
    </row>
    <row r="864" spans="1:206" x14ac:dyDescent="0.25">
      <c r="A864" t="s">
        <v>213</v>
      </c>
      <c r="B864" t="s">
        <v>32</v>
      </c>
      <c r="C864" s="3">
        <v>28.6</v>
      </c>
      <c r="D864" s="3">
        <v>77.2</v>
      </c>
      <c r="E864" t="s">
        <v>12</v>
      </c>
      <c r="F864" t="s">
        <v>77</v>
      </c>
      <c r="G864" t="s">
        <v>97</v>
      </c>
      <c r="I864" t="s">
        <v>12</v>
      </c>
      <c r="J864" t="s">
        <v>12</v>
      </c>
      <c r="K864" t="s">
        <v>12</v>
      </c>
      <c r="L864" t="s">
        <v>253</v>
      </c>
      <c r="M864" t="s">
        <v>1062</v>
      </c>
      <c r="O864">
        <v>41.4</v>
      </c>
      <c r="FT864">
        <v>1</v>
      </c>
    </row>
    <row r="865" spans="1:220" x14ac:dyDescent="0.25">
      <c r="A865" t="s">
        <v>213</v>
      </c>
      <c r="B865" t="s">
        <v>32</v>
      </c>
      <c r="C865" s="3">
        <v>28.6</v>
      </c>
      <c r="D865" s="3">
        <v>77.2</v>
      </c>
      <c r="E865" t="s">
        <v>12</v>
      </c>
      <c r="F865" t="s">
        <v>77</v>
      </c>
      <c r="G865" t="s">
        <v>97</v>
      </c>
      <c r="I865" t="s">
        <v>12</v>
      </c>
      <c r="J865" t="s">
        <v>12</v>
      </c>
      <c r="K865" t="s">
        <v>12</v>
      </c>
      <c r="L865" t="s">
        <v>253</v>
      </c>
      <c r="M865" t="s">
        <v>1062</v>
      </c>
      <c r="O865">
        <v>61.37</v>
      </c>
      <c r="FU865">
        <v>1</v>
      </c>
    </row>
    <row r="866" spans="1:220" x14ac:dyDescent="0.25">
      <c r="A866" t="s">
        <v>213</v>
      </c>
      <c r="B866" t="s">
        <v>32</v>
      </c>
      <c r="C866" s="3">
        <f t="shared" ref="C866:C880" si="22">28+35/60</f>
        <v>28.583333333333332</v>
      </c>
      <c r="D866" s="3">
        <f t="shared" ref="D866:D880" si="23">77+12/60</f>
        <v>77.2</v>
      </c>
      <c r="E866" t="s">
        <v>15</v>
      </c>
      <c r="F866" t="s">
        <v>21</v>
      </c>
      <c r="G866" t="s">
        <v>220</v>
      </c>
      <c r="H866">
        <v>40</v>
      </c>
      <c r="I866" t="s">
        <v>15</v>
      </c>
      <c r="J866" t="s">
        <v>12</v>
      </c>
      <c r="K866" t="s">
        <v>12</v>
      </c>
      <c r="L866" t="s">
        <v>219</v>
      </c>
      <c r="M866" t="s">
        <v>1073</v>
      </c>
      <c r="O866">
        <v>170.5</v>
      </c>
      <c r="HA866">
        <v>1</v>
      </c>
    </row>
    <row r="867" spans="1:220" x14ac:dyDescent="0.25">
      <c r="A867" t="s">
        <v>213</v>
      </c>
      <c r="B867" t="s">
        <v>32</v>
      </c>
      <c r="C867" s="3">
        <f t="shared" si="22"/>
        <v>28.583333333333332</v>
      </c>
      <c r="D867" s="3">
        <f t="shared" si="23"/>
        <v>77.2</v>
      </c>
      <c r="E867" t="s">
        <v>15</v>
      </c>
      <c r="F867" t="s">
        <v>21</v>
      </c>
      <c r="G867" t="s">
        <v>220</v>
      </c>
      <c r="H867">
        <v>40</v>
      </c>
      <c r="I867" t="s">
        <v>15</v>
      </c>
      <c r="J867" t="s">
        <v>12</v>
      </c>
      <c r="K867" t="s">
        <v>12</v>
      </c>
      <c r="L867" t="s">
        <v>219</v>
      </c>
      <c r="M867" t="s">
        <v>1073</v>
      </c>
      <c r="O867">
        <v>116.3</v>
      </c>
      <c r="HB867">
        <v>1</v>
      </c>
    </row>
    <row r="868" spans="1:220" x14ac:dyDescent="0.25">
      <c r="A868" t="s">
        <v>213</v>
      </c>
      <c r="B868" t="s">
        <v>32</v>
      </c>
      <c r="C868" s="3">
        <f t="shared" si="22"/>
        <v>28.583333333333332</v>
      </c>
      <c r="D868" s="3">
        <f t="shared" si="23"/>
        <v>77.2</v>
      </c>
      <c r="E868" t="s">
        <v>15</v>
      </c>
      <c r="F868" t="s">
        <v>21</v>
      </c>
      <c r="G868" t="s">
        <v>220</v>
      </c>
      <c r="H868">
        <v>40</v>
      </c>
      <c r="I868" t="s">
        <v>15</v>
      </c>
      <c r="J868" t="s">
        <v>12</v>
      </c>
      <c r="K868" t="s">
        <v>12</v>
      </c>
      <c r="L868" t="s">
        <v>219</v>
      </c>
      <c r="M868" t="s">
        <v>1073</v>
      </c>
      <c r="O868">
        <v>89.2</v>
      </c>
      <c r="HC868">
        <v>1</v>
      </c>
    </row>
    <row r="869" spans="1:220" x14ac:dyDescent="0.25">
      <c r="A869" t="s">
        <v>213</v>
      </c>
      <c r="B869" t="s">
        <v>32</v>
      </c>
      <c r="C869" s="3">
        <f t="shared" si="22"/>
        <v>28.583333333333332</v>
      </c>
      <c r="D869" s="3">
        <f t="shared" si="23"/>
        <v>77.2</v>
      </c>
      <c r="E869" t="s">
        <v>15</v>
      </c>
      <c r="F869" t="s">
        <v>21</v>
      </c>
      <c r="G869" t="s">
        <v>220</v>
      </c>
      <c r="H869">
        <v>40</v>
      </c>
      <c r="I869" t="s">
        <v>15</v>
      </c>
      <c r="J869" t="s">
        <v>12</v>
      </c>
      <c r="K869" t="s">
        <v>12</v>
      </c>
      <c r="L869" t="s">
        <v>219</v>
      </c>
      <c r="M869" t="s">
        <v>1073</v>
      </c>
      <c r="O869">
        <v>86.1</v>
      </c>
      <c r="HD869">
        <v>1</v>
      </c>
    </row>
    <row r="870" spans="1:220" x14ac:dyDescent="0.25">
      <c r="A870" t="s">
        <v>213</v>
      </c>
      <c r="B870" t="s">
        <v>32</v>
      </c>
      <c r="C870" s="3">
        <f t="shared" si="22"/>
        <v>28.583333333333332</v>
      </c>
      <c r="D870" s="3">
        <f t="shared" si="23"/>
        <v>77.2</v>
      </c>
      <c r="E870" t="s">
        <v>15</v>
      </c>
      <c r="F870" t="s">
        <v>21</v>
      </c>
      <c r="G870" t="s">
        <v>220</v>
      </c>
      <c r="H870">
        <v>40</v>
      </c>
      <c r="I870" t="s">
        <v>15</v>
      </c>
      <c r="J870" t="s">
        <v>12</v>
      </c>
      <c r="K870" t="s">
        <v>12</v>
      </c>
      <c r="L870" t="s">
        <v>219</v>
      </c>
      <c r="M870" t="s">
        <v>1073</v>
      </c>
      <c r="O870">
        <v>87.7</v>
      </c>
      <c r="HE870">
        <v>1</v>
      </c>
    </row>
    <row r="871" spans="1:220" x14ac:dyDescent="0.25">
      <c r="A871" t="s">
        <v>213</v>
      </c>
      <c r="B871" t="s">
        <v>32</v>
      </c>
      <c r="C871" s="3">
        <f t="shared" si="22"/>
        <v>28.583333333333332</v>
      </c>
      <c r="D871" s="3">
        <f t="shared" si="23"/>
        <v>77.2</v>
      </c>
      <c r="E871" t="s">
        <v>15</v>
      </c>
      <c r="F871" t="s">
        <v>21</v>
      </c>
      <c r="G871" t="s">
        <v>220</v>
      </c>
      <c r="H871">
        <v>40</v>
      </c>
      <c r="I871" t="s">
        <v>15</v>
      </c>
      <c r="J871" t="s">
        <v>12</v>
      </c>
      <c r="K871" t="s">
        <v>12</v>
      </c>
      <c r="L871" t="s">
        <v>219</v>
      </c>
      <c r="M871" t="s">
        <v>1073</v>
      </c>
      <c r="O871">
        <v>75.900000000000006</v>
      </c>
      <c r="HF871">
        <v>1</v>
      </c>
    </row>
    <row r="872" spans="1:220" x14ac:dyDescent="0.25">
      <c r="A872" t="s">
        <v>213</v>
      </c>
      <c r="B872" t="s">
        <v>32</v>
      </c>
      <c r="C872" s="3">
        <f t="shared" si="22"/>
        <v>28.583333333333332</v>
      </c>
      <c r="D872" s="3">
        <f t="shared" si="23"/>
        <v>77.2</v>
      </c>
      <c r="E872" t="s">
        <v>15</v>
      </c>
      <c r="F872" t="s">
        <v>21</v>
      </c>
      <c r="G872" t="s">
        <v>220</v>
      </c>
      <c r="H872">
        <v>40</v>
      </c>
      <c r="I872" t="s">
        <v>15</v>
      </c>
      <c r="J872" t="s">
        <v>12</v>
      </c>
      <c r="K872" t="s">
        <v>12</v>
      </c>
      <c r="L872" t="s">
        <v>219</v>
      </c>
      <c r="M872" t="s">
        <v>1073</v>
      </c>
      <c r="O872">
        <v>65.900000000000006</v>
      </c>
      <c r="HG872">
        <v>1</v>
      </c>
    </row>
    <row r="873" spans="1:220" x14ac:dyDescent="0.25">
      <c r="A873" t="s">
        <v>213</v>
      </c>
      <c r="B873" t="s">
        <v>32</v>
      </c>
      <c r="C873" s="3">
        <f t="shared" si="22"/>
        <v>28.583333333333332</v>
      </c>
      <c r="D873" s="3">
        <f t="shared" si="23"/>
        <v>77.2</v>
      </c>
      <c r="E873" t="s">
        <v>15</v>
      </c>
      <c r="F873" t="s">
        <v>21</v>
      </c>
      <c r="G873" t="s">
        <v>220</v>
      </c>
      <c r="H873">
        <v>40</v>
      </c>
      <c r="I873" t="s">
        <v>15</v>
      </c>
      <c r="J873" t="s">
        <v>12</v>
      </c>
      <c r="K873" t="s">
        <v>12</v>
      </c>
      <c r="L873" t="s">
        <v>219</v>
      </c>
      <c r="M873" t="s">
        <v>1073</v>
      </c>
      <c r="O873">
        <v>54.3</v>
      </c>
      <c r="HH873">
        <v>1</v>
      </c>
    </row>
    <row r="874" spans="1:220" x14ac:dyDescent="0.25">
      <c r="A874" t="s">
        <v>213</v>
      </c>
      <c r="B874" t="s">
        <v>32</v>
      </c>
      <c r="C874" s="3">
        <f t="shared" si="22"/>
        <v>28.583333333333332</v>
      </c>
      <c r="D874" s="3">
        <f t="shared" si="23"/>
        <v>77.2</v>
      </c>
      <c r="E874" t="s">
        <v>15</v>
      </c>
      <c r="F874" t="s">
        <v>21</v>
      </c>
      <c r="G874" t="s">
        <v>220</v>
      </c>
      <c r="H874">
        <v>40</v>
      </c>
      <c r="I874" t="s">
        <v>15</v>
      </c>
      <c r="J874" t="s">
        <v>12</v>
      </c>
      <c r="K874" t="s">
        <v>12</v>
      </c>
      <c r="L874" t="s">
        <v>219</v>
      </c>
      <c r="M874" t="s">
        <v>1073</v>
      </c>
      <c r="O874">
        <v>59.9</v>
      </c>
      <c r="HI874">
        <v>1</v>
      </c>
    </row>
    <row r="875" spans="1:220" x14ac:dyDescent="0.25">
      <c r="A875" t="s">
        <v>213</v>
      </c>
      <c r="B875" t="s">
        <v>32</v>
      </c>
      <c r="C875" s="3">
        <f t="shared" si="22"/>
        <v>28.583333333333332</v>
      </c>
      <c r="D875" s="3">
        <f t="shared" si="23"/>
        <v>77.2</v>
      </c>
      <c r="E875" t="s">
        <v>15</v>
      </c>
      <c r="F875" t="s">
        <v>21</v>
      </c>
      <c r="G875" t="s">
        <v>220</v>
      </c>
      <c r="H875">
        <v>40</v>
      </c>
      <c r="I875" t="s">
        <v>15</v>
      </c>
      <c r="J875" t="s">
        <v>12</v>
      </c>
      <c r="K875" t="s">
        <v>12</v>
      </c>
      <c r="L875" t="s">
        <v>219</v>
      </c>
      <c r="M875" t="s">
        <v>1073</v>
      </c>
      <c r="O875">
        <v>169.9</v>
      </c>
      <c r="HJ875">
        <v>1</v>
      </c>
    </row>
    <row r="876" spans="1:220" x14ac:dyDescent="0.25">
      <c r="A876" t="s">
        <v>213</v>
      </c>
      <c r="B876" t="s">
        <v>32</v>
      </c>
      <c r="C876" s="3">
        <f t="shared" si="22"/>
        <v>28.583333333333332</v>
      </c>
      <c r="D876" s="3">
        <f t="shared" si="23"/>
        <v>77.2</v>
      </c>
      <c r="E876" t="s">
        <v>15</v>
      </c>
      <c r="F876" t="s">
        <v>21</v>
      </c>
      <c r="G876" t="s">
        <v>220</v>
      </c>
      <c r="H876">
        <v>40</v>
      </c>
      <c r="I876" t="s">
        <v>15</v>
      </c>
      <c r="J876" t="s">
        <v>12</v>
      </c>
      <c r="K876" t="s">
        <v>12</v>
      </c>
      <c r="L876" t="s">
        <v>219</v>
      </c>
      <c r="M876" t="s">
        <v>1073</v>
      </c>
      <c r="O876">
        <v>223.5</v>
      </c>
      <c r="HK876">
        <v>1</v>
      </c>
    </row>
    <row r="877" spans="1:220" x14ac:dyDescent="0.25">
      <c r="A877" t="s">
        <v>213</v>
      </c>
      <c r="B877" t="s">
        <v>32</v>
      </c>
      <c r="C877" s="3">
        <f t="shared" si="22"/>
        <v>28.583333333333332</v>
      </c>
      <c r="D877" s="3">
        <f t="shared" si="23"/>
        <v>77.2</v>
      </c>
      <c r="E877" t="s">
        <v>15</v>
      </c>
      <c r="F877" t="s">
        <v>21</v>
      </c>
      <c r="G877" t="s">
        <v>220</v>
      </c>
      <c r="H877">
        <v>40</v>
      </c>
      <c r="I877" t="s">
        <v>15</v>
      </c>
      <c r="J877" t="s">
        <v>12</v>
      </c>
      <c r="K877" t="s">
        <v>12</v>
      </c>
      <c r="L877" t="s">
        <v>219</v>
      </c>
      <c r="M877" t="s">
        <v>1073</v>
      </c>
      <c r="O877">
        <v>338.7</v>
      </c>
      <c r="HL877">
        <v>1</v>
      </c>
    </row>
    <row r="878" spans="1:220" x14ac:dyDescent="0.25">
      <c r="A878" t="s">
        <v>213</v>
      </c>
      <c r="B878" t="s">
        <v>32</v>
      </c>
      <c r="C878" s="3">
        <f t="shared" si="22"/>
        <v>28.583333333333332</v>
      </c>
      <c r="D878" s="3">
        <f t="shared" si="23"/>
        <v>77.2</v>
      </c>
      <c r="E878" t="s">
        <v>15</v>
      </c>
      <c r="F878" t="s">
        <v>77</v>
      </c>
      <c r="G878" t="s">
        <v>76</v>
      </c>
      <c r="I878" t="s">
        <v>12</v>
      </c>
      <c r="J878" t="s">
        <v>15</v>
      </c>
      <c r="K878" t="s">
        <v>15</v>
      </c>
      <c r="L878" t="s">
        <v>218</v>
      </c>
      <c r="M878" t="s">
        <v>1074</v>
      </c>
      <c r="N878" t="s">
        <v>217</v>
      </c>
      <c r="O878">
        <f>AVERAGE(140,265,160,345,195,165)</f>
        <v>211.66666666666666</v>
      </c>
      <c r="EG878">
        <v>1</v>
      </c>
      <c r="ER878">
        <v>1</v>
      </c>
    </row>
    <row r="879" spans="1:220" x14ac:dyDescent="0.25">
      <c r="A879" t="s">
        <v>213</v>
      </c>
      <c r="B879" t="s">
        <v>32</v>
      </c>
      <c r="C879" s="3">
        <f t="shared" si="22"/>
        <v>28.583333333333332</v>
      </c>
      <c r="D879" s="3">
        <f t="shared" si="23"/>
        <v>77.2</v>
      </c>
      <c r="E879" t="s">
        <v>15</v>
      </c>
      <c r="F879" t="s">
        <v>77</v>
      </c>
      <c r="G879" t="s">
        <v>76</v>
      </c>
      <c r="I879" t="s">
        <v>12</v>
      </c>
      <c r="J879" t="s">
        <v>15</v>
      </c>
      <c r="K879" t="s">
        <v>15</v>
      </c>
      <c r="L879" t="s">
        <v>218</v>
      </c>
      <c r="M879" t="s">
        <v>1074</v>
      </c>
      <c r="N879" t="s">
        <v>217</v>
      </c>
      <c r="O879">
        <f>AVERAGE(75,70,180,65)</f>
        <v>97.5</v>
      </c>
      <c r="EI879">
        <v>1</v>
      </c>
      <c r="EJ879">
        <v>1</v>
      </c>
      <c r="EK879">
        <v>1</v>
      </c>
    </row>
    <row r="880" spans="1:220" x14ac:dyDescent="0.25">
      <c r="A880" t="s">
        <v>213</v>
      </c>
      <c r="B880" t="s">
        <v>32</v>
      </c>
      <c r="C880" s="3">
        <f t="shared" si="22"/>
        <v>28.583333333333332</v>
      </c>
      <c r="D880" s="3">
        <f t="shared" si="23"/>
        <v>77.2</v>
      </c>
      <c r="E880" t="s">
        <v>15</v>
      </c>
      <c r="F880" t="s">
        <v>77</v>
      </c>
      <c r="G880" t="s">
        <v>76</v>
      </c>
      <c r="I880" t="s">
        <v>12</v>
      </c>
      <c r="J880" t="s">
        <v>15</v>
      </c>
      <c r="K880" t="s">
        <v>15</v>
      </c>
      <c r="L880" t="s">
        <v>218</v>
      </c>
      <c r="M880" t="s">
        <v>1074</v>
      </c>
      <c r="N880" t="s">
        <v>217</v>
      </c>
      <c r="O880">
        <f>AVERAGE(75,70,50,55)</f>
        <v>62.5</v>
      </c>
      <c r="EL880">
        <v>1</v>
      </c>
      <c r="EM880">
        <v>1</v>
      </c>
      <c r="EN880">
        <v>1</v>
      </c>
      <c r="EO880">
        <v>1</v>
      </c>
    </row>
    <row r="881" spans="1:210" x14ac:dyDescent="0.25">
      <c r="A881" t="s">
        <v>213</v>
      </c>
      <c r="B881" t="s">
        <v>32</v>
      </c>
      <c r="C881" s="3">
        <v>28.63</v>
      </c>
      <c r="D881" s="3">
        <v>77.180000000000007</v>
      </c>
      <c r="E881" t="s">
        <v>15</v>
      </c>
      <c r="F881" t="s">
        <v>77</v>
      </c>
      <c r="G881" t="s">
        <v>97</v>
      </c>
      <c r="I881" t="s">
        <v>15</v>
      </c>
      <c r="J881" t="s">
        <v>15</v>
      </c>
      <c r="K881" t="s">
        <v>15</v>
      </c>
      <c r="L881" t="s">
        <v>216</v>
      </c>
      <c r="M881" t="s">
        <v>1075</v>
      </c>
      <c r="N881" t="s">
        <v>217</v>
      </c>
      <c r="O881">
        <v>92</v>
      </c>
      <c r="FE881">
        <v>1</v>
      </c>
    </row>
    <row r="882" spans="1:210" x14ac:dyDescent="0.25">
      <c r="A882" t="s">
        <v>213</v>
      </c>
      <c r="B882" t="s">
        <v>32</v>
      </c>
      <c r="C882" s="3">
        <v>28.63</v>
      </c>
      <c r="D882" s="3">
        <v>77.180000000000007</v>
      </c>
      <c r="E882" t="s">
        <v>15</v>
      </c>
      <c r="F882" t="s">
        <v>77</v>
      </c>
      <c r="G882" t="s">
        <v>97</v>
      </c>
      <c r="I882" t="s">
        <v>15</v>
      </c>
      <c r="J882" t="s">
        <v>15</v>
      </c>
      <c r="K882" t="s">
        <v>15</v>
      </c>
      <c r="L882" t="s">
        <v>216</v>
      </c>
      <c r="M882" t="s">
        <v>1075</v>
      </c>
      <c r="N882" t="s">
        <v>217</v>
      </c>
      <c r="O882">
        <v>80</v>
      </c>
      <c r="FF882">
        <v>1</v>
      </c>
    </row>
    <row r="883" spans="1:210" x14ac:dyDescent="0.25">
      <c r="A883" t="s">
        <v>213</v>
      </c>
      <c r="B883" t="s">
        <v>32</v>
      </c>
      <c r="C883" s="3">
        <v>28.63</v>
      </c>
      <c r="D883" s="3">
        <v>77.180000000000007</v>
      </c>
      <c r="E883" t="s">
        <v>15</v>
      </c>
      <c r="F883" t="s">
        <v>77</v>
      </c>
      <c r="G883" t="s">
        <v>97</v>
      </c>
      <c r="I883" t="s">
        <v>15</v>
      </c>
      <c r="J883" t="s">
        <v>15</v>
      </c>
      <c r="K883" t="s">
        <v>15</v>
      </c>
      <c r="L883" t="s">
        <v>216</v>
      </c>
      <c r="M883" t="s">
        <v>1075</v>
      </c>
      <c r="N883" t="s">
        <v>217</v>
      </c>
      <c r="O883">
        <v>45</v>
      </c>
      <c r="FG883">
        <v>1</v>
      </c>
    </row>
    <row r="884" spans="1:210" x14ac:dyDescent="0.25">
      <c r="A884" t="s">
        <v>213</v>
      </c>
      <c r="B884" t="s">
        <v>32</v>
      </c>
      <c r="C884" s="3">
        <v>28.63</v>
      </c>
      <c r="D884" s="3">
        <v>77.180000000000007</v>
      </c>
      <c r="E884" t="s">
        <v>15</v>
      </c>
      <c r="F884" t="s">
        <v>77</v>
      </c>
      <c r="G884" t="s">
        <v>97</v>
      </c>
      <c r="I884" t="s">
        <v>15</v>
      </c>
      <c r="J884" t="s">
        <v>15</v>
      </c>
      <c r="K884" t="s">
        <v>15</v>
      </c>
      <c r="L884" t="s">
        <v>216</v>
      </c>
      <c r="M884" t="s">
        <v>1075</v>
      </c>
      <c r="N884" t="s">
        <v>217</v>
      </c>
      <c r="O884">
        <v>30</v>
      </c>
      <c r="FH884">
        <v>1</v>
      </c>
    </row>
    <row r="885" spans="1:210" x14ac:dyDescent="0.25">
      <c r="A885" t="s">
        <v>213</v>
      </c>
      <c r="B885" t="s">
        <v>32</v>
      </c>
      <c r="C885" s="3">
        <v>28.63</v>
      </c>
      <c r="D885" s="3">
        <v>77.180000000000007</v>
      </c>
      <c r="E885" t="s">
        <v>15</v>
      </c>
      <c r="F885" t="s">
        <v>77</v>
      </c>
      <c r="G885" t="s">
        <v>97</v>
      </c>
      <c r="I885" t="s">
        <v>15</v>
      </c>
      <c r="J885" t="s">
        <v>15</v>
      </c>
      <c r="K885" t="s">
        <v>15</v>
      </c>
      <c r="L885" t="s">
        <v>216</v>
      </c>
      <c r="M885" t="s">
        <v>1075</v>
      </c>
      <c r="N885" t="s">
        <v>217</v>
      </c>
      <c r="O885">
        <v>50</v>
      </c>
      <c r="FI885">
        <v>1</v>
      </c>
    </row>
    <row r="886" spans="1:210" x14ac:dyDescent="0.25">
      <c r="A886" t="s">
        <v>213</v>
      </c>
      <c r="B886" t="s">
        <v>32</v>
      </c>
      <c r="C886" s="3">
        <v>28.63</v>
      </c>
      <c r="D886" s="3">
        <v>77.180000000000007</v>
      </c>
      <c r="E886" t="s">
        <v>15</v>
      </c>
      <c r="F886" t="s">
        <v>77</v>
      </c>
      <c r="G886" t="s">
        <v>97</v>
      </c>
      <c r="I886" t="s">
        <v>15</v>
      </c>
      <c r="J886" t="s">
        <v>15</v>
      </c>
      <c r="K886" t="s">
        <v>15</v>
      </c>
      <c r="L886" t="s">
        <v>216</v>
      </c>
      <c r="M886" t="s">
        <v>1075</v>
      </c>
      <c r="N886" t="s">
        <v>217</v>
      </c>
      <c r="O886">
        <v>40</v>
      </c>
      <c r="FJ886">
        <v>1</v>
      </c>
    </row>
    <row r="887" spans="1:210" x14ac:dyDescent="0.25">
      <c r="A887" t="s">
        <v>213</v>
      </c>
      <c r="B887" t="s">
        <v>32</v>
      </c>
      <c r="C887" s="3">
        <v>28.63</v>
      </c>
      <c r="D887" s="3">
        <v>77.180000000000007</v>
      </c>
      <c r="E887" t="s">
        <v>15</v>
      </c>
      <c r="F887" t="s">
        <v>77</v>
      </c>
      <c r="G887" t="s">
        <v>97</v>
      </c>
      <c r="I887" t="s">
        <v>15</v>
      </c>
      <c r="J887" t="s">
        <v>15</v>
      </c>
      <c r="K887" t="s">
        <v>15</v>
      </c>
      <c r="L887" t="s">
        <v>216</v>
      </c>
      <c r="M887" t="s">
        <v>1075</v>
      </c>
      <c r="N887" t="s">
        <v>217</v>
      </c>
      <c r="O887">
        <v>122</v>
      </c>
      <c r="FN887">
        <v>1</v>
      </c>
    </row>
    <row r="888" spans="1:210" x14ac:dyDescent="0.25">
      <c r="A888" t="s">
        <v>213</v>
      </c>
      <c r="B888" t="s">
        <v>32</v>
      </c>
      <c r="C888" s="3">
        <v>28.63</v>
      </c>
      <c r="D888" s="3">
        <v>77.180000000000007</v>
      </c>
      <c r="E888" t="s">
        <v>15</v>
      </c>
      <c r="F888" t="s">
        <v>77</v>
      </c>
      <c r="G888" t="s">
        <v>97</v>
      </c>
      <c r="I888" t="s">
        <v>15</v>
      </c>
      <c r="J888" t="s">
        <v>15</v>
      </c>
      <c r="K888" t="s">
        <v>15</v>
      </c>
      <c r="L888" t="s">
        <v>216</v>
      </c>
      <c r="M888" t="s">
        <v>1075</v>
      </c>
      <c r="N888" t="s">
        <v>217</v>
      </c>
      <c r="O888">
        <v>165</v>
      </c>
      <c r="FO888">
        <v>1</v>
      </c>
    </row>
    <row r="889" spans="1:210" x14ac:dyDescent="0.25">
      <c r="A889" t="s">
        <v>213</v>
      </c>
      <c r="B889" t="s">
        <v>32</v>
      </c>
      <c r="C889" s="3">
        <v>28.63</v>
      </c>
      <c r="D889" s="3">
        <v>77.180000000000007</v>
      </c>
      <c r="E889" t="s">
        <v>15</v>
      </c>
      <c r="F889" t="s">
        <v>77</v>
      </c>
      <c r="G889" t="s">
        <v>97</v>
      </c>
      <c r="I889" t="s">
        <v>15</v>
      </c>
      <c r="J889" t="s">
        <v>15</v>
      </c>
      <c r="K889" t="s">
        <v>15</v>
      </c>
      <c r="L889" t="s">
        <v>216</v>
      </c>
      <c r="M889" t="s">
        <v>1075</v>
      </c>
      <c r="N889" t="s">
        <v>217</v>
      </c>
      <c r="O889">
        <v>148</v>
      </c>
      <c r="FP889">
        <v>1</v>
      </c>
    </row>
    <row r="890" spans="1:210" x14ac:dyDescent="0.25">
      <c r="A890" t="s">
        <v>213</v>
      </c>
      <c r="B890" t="s">
        <v>32</v>
      </c>
      <c r="C890" s="3">
        <v>28.63</v>
      </c>
      <c r="D890" s="3">
        <v>77.180000000000007</v>
      </c>
      <c r="E890" t="s">
        <v>15</v>
      </c>
      <c r="F890" t="s">
        <v>19</v>
      </c>
      <c r="G890" t="s">
        <v>214</v>
      </c>
      <c r="I890" t="s">
        <v>15</v>
      </c>
      <c r="J890" t="s">
        <v>12</v>
      </c>
      <c r="K890" t="s">
        <v>12</v>
      </c>
      <c r="L890" t="s">
        <v>215</v>
      </c>
      <c r="M890" t="s">
        <v>1076</v>
      </c>
      <c r="O890">
        <v>209.6</v>
      </c>
      <c r="P890">
        <v>145.5</v>
      </c>
      <c r="GY890">
        <v>1</v>
      </c>
      <c r="GZ890">
        <v>1</v>
      </c>
      <c r="HA890">
        <v>1</v>
      </c>
      <c r="HB890">
        <v>1</v>
      </c>
    </row>
    <row r="891" spans="1:210" x14ac:dyDescent="0.25">
      <c r="A891" t="s">
        <v>213</v>
      </c>
      <c r="B891" t="s">
        <v>32</v>
      </c>
      <c r="C891" s="3">
        <v>28.63</v>
      </c>
      <c r="D891" s="3">
        <v>77.17</v>
      </c>
      <c r="E891" t="s">
        <v>34</v>
      </c>
      <c r="F891" t="s">
        <v>77</v>
      </c>
      <c r="G891" t="s">
        <v>106</v>
      </c>
      <c r="I891" t="s">
        <v>15</v>
      </c>
      <c r="J891" t="s">
        <v>15</v>
      </c>
      <c r="K891" t="s">
        <v>12</v>
      </c>
      <c r="L891" t="s">
        <v>503</v>
      </c>
      <c r="M891" t="s">
        <v>1106</v>
      </c>
      <c r="O891">
        <v>114</v>
      </c>
      <c r="CM891">
        <v>1</v>
      </c>
      <c r="CN891">
        <v>1</v>
      </c>
    </row>
    <row r="892" spans="1:210" x14ac:dyDescent="0.25">
      <c r="A892" t="s">
        <v>213</v>
      </c>
      <c r="B892" t="s">
        <v>32</v>
      </c>
      <c r="C892" s="3">
        <v>28.63</v>
      </c>
      <c r="D892" s="3">
        <v>77.17</v>
      </c>
      <c r="E892" t="s">
        <v>34</v>
      </c>
      <c r="F892" t="s">
        <v>77</v>
      </c>
      <c r="G892" t="s">
        <v>106</v>
      </c>
      <c r="I892" t="s">
        <v>15</v>
      </c>
      <c r="J892" t="s">
        <v>15</v>
      </c>
      <c r="K892" t="s">
        <v>12</v>
      </c>
      <c r="L892" t="s">
        <v>503</v>
      </c>
      <c r="M892" t="s">
        <v>1106</v>
      </c>
      <c r="O892">
        <v>49</v>
      </c>
      <c r="CP892">
        <v>1</v>
      </c>
      <c r="CQ892">
        <v>1</v>
      </c>
    </row>
    <row r="893" spans="1:210" x14ac:dyDescent="0.25">
      <c r="A893" t="s">
        <v>213</v>
      </c>
      <c r="B893" t="s">
        <v>32</v>
      </c>
      <c r="C893" s="3">
        <v>28.63</v>
      </c>
      <c r="D893" s="3">
        <v>77.17</v>
      </c>
      <c r="E893" t="s">
        <v>34</v>
      </c>
      <c r="F893" t="s">
        <v>77</v>
      </c>
      <c r="G893" t="s">
        <v>106</v>
      </c>
      <c r="I893" t="s">
        <v>15</v>
      </c>
      <c r="J893" t="s">
        <v>15</v>
      </c>
      <c r="K893" t="s">
        <v>12</v>
      </c>
      <c r="L893" t="s">
        <v>503</v>
      </c>
      <c r="M893" t="s">
        <v>1106</v>
      </c>
      <c r="O893">
        <v>159</v>
      </c>
      <c r="CT893">
        <v>1</v>
      </c>
      <c r="CU893">
        <v>1</v>
      </c>
    </row>
    <row r="894" spans="1:210" x14ac:dyDescent="0.25">
      <c r="A894" t="s">
        <v>213</v>
      </c>
      <c r="B894" t="s">
        <v>32</v>
      </c>
      <c r="C894" s="3">
        <v>28.63</v>
      </c>
      <c r="D894" s="3">
        <v>77.17</v>
      </c>
      <c r="E894" t="s">
        <v>34</v>
      </c>
      <c r="F894" t="s">
        <v>77</v>
      </c>
      <c r="G894" t="s">
        <v>106</v>
      </c>
      <c r="I894" t="s">
        <v>15</v>
      </c>
      <c r="J894" t="s">
        <v>15</v>
      </c>
      <c r="K894" t="s">
        <v>12</v>
      </c>
      <c r="L894" t="s">
        <v>503</v>
      </c>
      <c r="M894" t="s">
        <v>1106</v>
      </c>
      <c r="O894">
        <v>231</v>
      </c>
      <c r="CV894">
        <v>1</v>
      </c>
      <c r="CW894">
        <v>1</v>
      </c>
    </row>
    <row r="895" spans="1:210" x14ac:dyDescent="0.25">
      <c r="A895" t="s">
        <v>323</v>
      </c>
      <c r="B895" t="s">
        <v>32</v>
      </c>
      <c r="C895" s="3">
        <v>23.71</v>
      </c>
      <c r="D895" s="3">
        <v>90.4</v>
      </c>
      <c r="E895" t="s">
        <v>12</v>
      </c>
      <c r="F895" t="s">
        <v>19</v>
      </c>
      <c r="G895" t="s">
        <v>46</v>
      </c>
      <c r="I895" t="s">
        <v>12</v>
      </c>
      <c r="J895" t="s">
        <v>12</v>
      </c>
      <c r="K895" t="s">
        <v>12</v>
      </c>
      <c r="L895" t="s">
        <v>479</v>
      </c>
      <c r="M895" t="s">
        <v>996</v>
      </c>
      <c r="O895">
        <v>68</v>
      </c>
      <c r="CZ895">
        <v>1</v>
      </c>
      <c r="DA895">
        <v>1</v>
      </c>
      <c r="DB895">
        <v>1</v>
      </c>
      <c r="DC895">
        <v>1</v>
      </c>
      <c r="DD895">
        <v>1</v>
      </c>
      <c r="DE895">
        <v>1</v>
      </c>
      <c r="DF895">
        <v>1</v>
      </c>
      <c r="DG895">
        <v>1</v>
      </c>
      <c r="DH895">
        <v>1</v>
      </c>
    </row>
    <row r="896" spans="1:210" x14ac:dyDescent="0.25">
      <c r="A896" t="s">
        <v>323</v>
      </c>
      <c r="B896" t="s">
        <v>32</v>
      </c>
      <c r="C896" s="3">
        <v>23.71</v>
      </c>
      <c r="D896" s="3">
        <v>90.4</v>
      </c>
      <c r="E896" t="s">
        <v>12</v>
      </c>
      <c r="F896" t="s">
        <v>19</v>
      </c>
      <c r="G896" t="s">
        <v>46</v>
      </c>
      <c r="I896" t="s">
        <v>12</v>
      </c>
      <c r="J896" t="s">
        <v>12</v>
      </c>
      <c r="K896" t="s">
        <v>12</v>
      </c>
      <c r="L896" t="s">
        <v>479</v>
      </c>
      <c r="M896" t="s">
        <v>996</v>
      </c>
      <c r="O896">
        <v>75</v>
      </c>
      <c r="DI896">
        <v>1</v>
      </c>
      <c r="DJ896">
        <v>1</v>
      </c>
      <c r="DK896">
        <v>1</v>
      </c>
      <c r="DL896">
        <v>1</v>
      </c>
      <c r="DM896">
        <v>1</v>
      </c>
      <c r="DN896">
        <v>1</v>
      </c>
      <c r="DO896">
        <v>1</v>
      </c>
      <c r="DP896">
        <v>1</v>
      </c>
      <c r="DQ896">
        <v>1</v>
      </c>
      <c r="DR896">
        <v>1</v>
      </c>
      <c r="DS896">
        <v>1</v>
      </c>
      <c r="DT896">
        <v>1</v>
      </c>
    </row>
    <row r="897" spans="1:202" x14ac:dyDescent="0.25">
      <c r="A897" t="s">
        <v>323</v>
      </c>
      <c r="B897" t="s">
        <v>32</v>
      </c>
      <c r="C897" s="3">
        <v>23.71</v>
      </c>
      <c r="D897" s="3">
        <v>90.4</v>
      </c>
      <c r="E897" t="s">
        <v>12</v>
      </c>
      <c r="F897" t="s">
        <v>19</v>
      </c>
      <c r="G897" t="s">
        <v>46</v>
      </c>
      <c r="I897" t="s">
        <v>12</v>
      </c>
      <c r="J897" t="s">
        <v>12</v>
      </c>
      <c r="K897" t="s">
        <v>12</v>
      </c>
      <c r="L897" t="s">
        <v>479</v>
      </c>
      <c r="M897" t="s">
        <v>996</v>
      </c>
      <c r="O897">
        <v>95</v>
      </c>
      <c r="DU897">
        <v>1</v>
      </c>
      <c r="DV897">
        <v>1</v>
      </c>
      <c r="DW897">
        <v>1</v>
      </c>
      <c r="DX897">
        <v>1</v>
      </c>
      <c r="DY897">
        <v>1</v>
      </c>
      <c r="DZ897">
        <v>1</v>
      </c>
      <c r="EA897">
        <v>1</v>
      </c>
      <c r="EB897">
        <v>1</v>
      </c>
      <c r="EC897">
        <v>1</v>
      </c>
      <c r="ED897">
        <v>1</v>
      </c>
      <c r="EE897">
        <v>1</v>
      </c>
      <c r="EF897">
        <v>1</v>
      </c>
    </row>
    <row r="898" spans="1:202" x14ac:dyDescent="0.25">
      <c r="A898" t="s">
        <v>323</v>
      </c>
      <c r="B898" t="s">
        <v>32</v>
      </c>
      <c r="C898" s="3">
        <v>23.71</v>
      </c>
      <c r="D898" s="3">
        <v>90.4</v>
      </c>
      <c r="E898" t="s">
        <v>12</v>
      </c>
      <c r="F898" t="s">
        <v>19</v>
      </c>
      <c r="G898" t="s">
        <v>46</v>
      </c>
      <c r="I898" t="s">
        <v>12</v>
      </c>
      <c r="J898" t="s">
        <v>12</v>
      </c>
      <c r="K898" t="s">
        <v>12</v>
      </c>
      <c r="L898" t="s">
        <v>479</v>
      </c>
      <c r="M898" t="s">
        <v>996</v>
      </c>
      <c r="O898">
        <v>72</v>
      </c>
      <c r="EG898">
        <v>1</v>
      </c>
      <c r="EH898">
        <v>1</v>
      </c>
      <c r="EI898">
        <v>1</v>
      </c>
      <c r="EJ898">
        <v>1</v>
      </c>
      <c r="EK898">
        <v>1</v>
      </c>
      <c r="EL898">
        <v>1</v>
      </c>
      <c r="EM898">
        <v>1</v>
      </c>
      <c r="EN898">
        <v>1</v>
      </c>
      <c r="EO898">
        <v>1</v>
      </c>
      <c r="EP898">
        <v>1</v>
      </c>
      <c r="EQ898">
        <v>1</v>
      </c>
      <c r="ER898">
        <v>1</v>
      </c>
    </row>
    <row r="899" spans="1:202" x14ac:dyDescent="0.25">
      <c r="A899" t="s">
        <v>323</v>
      </c>
      <c r="B899" t="s">
        <v>32</v>
      </c>
      <c r="C899" s="3">
        <v>23.71</v>
      </c>
      <c r="D899" s="3">
        <v>90.4</v>
      </c>
      <c r="E899" t="s">
        <v>12</v>
      </c>
      <c r="F899" t="s">
        <v>19</v>
      </c>
      <c r="G899" t="s">
        <v>46</v>
      </c>
      <c r="I899" t="s">
        <v>12</v>
      </c>
      <c r="J899" t="s">
        <v>12</v>
      </c>
      <c r="K899" t="s">
        <v>12</v>
      </c>
      <c r="L899" t="s">
        <v>479</v>
      </c>
      <c r="M899" t="s">
        <v>996</v>
      </c>
      <c r="O899">
        <v>86</v>
      </c>
      <c r="ES899">
        <v>1</v>
      </c>
      <c r="ET899">
        <v>1</v>
      </c>
      <c r="EU899">
        <v>1</v>
      </c>
      <c r="EV899">
        <v>1</v>
      </c>
      <c r="EW899">
        <v>1</v>
      </c>
      <c r="EX899">
        <v>1</v>
      </c>
      <c r="EY899">
        <v>1</v>
      </c>
      <c r="EZ899">
        <v>1</v>
      </c>
      <c r="FA899">
        <v>1</v>
      </c>
      <c r="FB899">
        <v>1</v>
      </c>
      <c r="FC899">
        <v>1</v>
      </c>
      <c r="FD899">
        <v>1</v>
      </c>
    </row>
    <row r="900" spans="1:202" x14ac:dyDescent="0.25">
      <c r="A900" t="s">
        <v>323</v>
      </c>
      <c r="B900" t="s">
        <v>32</v>
      </c>
      <c r="C900" s="3">
        <v>23.71</v>
      </c>
      <c r="D900" s="3">
        <v>90.4</v>
      </c>
      <c r="E900" t="s">
        <v>12</v>
      </c>
      <c r="F900" t="s">
        <v>19</v>
      </c>
      <c r="G900" t="s">
        <v>46</v>
      </c>
      <c r="I900" t="s">
        <v>12</v>
      </c>
      <c r="J900" t="s">
        <v>12</v>
      </c>
      <c r="K900" t="s">
        <v>12</v>
      </c>
      <c r="L900" t="s">
        <v>479</v>
      </c>
      <c r="M900" t="s">
        <v>996</v>
      </c>
      <c r="O900">
        <v>72</v>
      </c>
      <c r="FE900">
        <v>1</v>
      </c>
      <c r="FF900">
        <v>1</v>
      </c>
      <c r="FG900">
        <v>1</v>
      </c>
      <c r="FH900">
        <v>1</v>
      </c>
      <c r="FI900">
        <v>1</v>
      </c>
      <c r="FJ900">
        <v>1</v>
      </c>
      <c r="FK900">
        <v>1</v>
      </c>
      <c r="FL900">
        <v>1</v>
      </c>
      <c r="FM900">
        <v>1</v>
      </c>
      <c r="FN900">
        <v>1</v>
      </c>
      <c r="FO900">
        <v>1</v>
      </c>
      <c r="FP900">
        <v>1</v>
      </c>
    </row>
    <row r="901" spans="1:202" x14ac:dyDescent="0.25">
      <c r="A901" t="s">
        <v>323</v>
      </c>
      <c r="B901" t="s">
        <v>32</v>
      </c>
      <c r="C901" s="3">
        <v>23.76</v>
      </c>
      <c r="D901" s="3">
        <v>90.38</v>
      </c>
      <c r="E901" t="s">
        <v>12</v>
      </c>
      <c r="F901" t="s">
        <v>8</v>
      </c>
      <c r="G901" t="s">
        <v>106</v>
      </c>
      <c r="H901">
        <v>55</v>
      </c>
      <c r="I901" t="s">
        <v>12</v>
      </c>
      <c r="J901" t="s">
        <v>12</v>
      </c>
      <c r="K901" t="s">
        <v>15</v>
      </c>
      <c r="L901" t="s">
        <v>428</v>
      </c>
      <c r="M901" t="s">
        <v>1035</v>
      </c>
      <c r="N901" t="s">
        <v>324</v>
      </c>
      <c r="O901">
        <v>66.2</v>
      </c>
      <c r="ES901">
        <v>1</v>
      </c>
      <c r="ET901">
        <v>1</v>
      </c>
      <c r="EU901">
        <v>1</v>
      </c>
      <c r="EV901">
        <v>1</v>
      </c>
    </row>
    <row r="902" spans="1:202" x14ac:dyDescent="0.25">
      <c r="A902" t="s">
        <v>661</v>
      </c>
      <c r="B902" t="s">
        <v>32</v>
      </c>
      <c r="C902" s="3">
        <v>21.19</v>
      </c>
      <c r="D902" s="3">
        <v>81.28</v>
      </c>
      <c r="E902" t="s">
        <v>12</v>
      </c>
      <c r="F902" t="s">
        <v>19</v>
      </c>
      <c r="G902" t="s">
        <v>106</v>
      </c>
      <c r="H902">
        <v>40</v>
      </c>
      <c r="I902" t="s">
        <v>12</v>
      </c>
      <c r="J902" t="s">
        <v>12</v>
      </c>
      <c r="K902" t="s">
        <v>12</v>
      </c>
      <c r="L902" t="s">
        <v>858</v>
      </c>
      <c r="M902" t="s">
        <v>857</v>
      </c>
      <c r="O902">
        <f>19.9+18.7+18+1.2+6.2</f>
        <v>64</v>
      </c>
      <c r="GI902">
        <v>1</v>
      </c>
      <c r="GJ902">
        <v>1</v>
      </c>
      <c r="GK902">
        <v>1</v>
      </c>
    </row>
    <row r="903" spans="1:202" x14ac:dyDescent="0.25">
      <c r="A903" t="s">
        <v>661</v>
      </c>
      <c r="B903" t="s">
        <v>32</v>
      </c>
      <c r="C903" s="3">
        <v>21.19</v>
      </c>
      <c r="D903" s="3">
        <v>81.28</v>
      </c>
      <c r="E903" t="s">
        <v>12</v>
      </c>
      <c r="F903" t="s">
        <v>19</v>
      </c>
      <c r="G903" t="s">
        <v>106</v>
      </c>
      <c r="H903">
        <v>40</v>
      </c>
      <c r="I903" t="s">
        <v>12</v>
      </c>
      <c r="J903" t="s">
        <v>12</v>
      </c>
      <c r="K903" t="s">
        <v>12</v>
      </c>
      <c r="L903" t="s">
        <v>858</v>
      </c>
      <c r="M903" t="s">
        <v>857</v>
      </c>
      <c r="O903">
        <f>56.6+57.1+54.1+34.8+12.4</f>
        <v>215.00000000000003</v>
      </c>
      <c r="GL903">
        <v>1</v>
      </c>
      <c r="GM903">
        <v>1</v>
      </c>
      <c r="GN903">
        <v>1</v>
      </c>
    </row>
    <row r="904" spans="1:202" x14ac:dyDescent="0.25">
      <c r="A904" t="s">
        <v>661</v>
      </c>
      <c r="B904" t="s">
        <v>32</v>
      </c>
      <c r="C904" s="3">
        <v>21.19</v>
      </c>
      <c r="D904" s="3">
        <v>81.28</v>
      </c>
      <c r="E904" t="s">
        <v>12</v>
      </c>
      <c r="F904" t="s">
        <v>19</v>
      </c>
      <c r="G904" t="s">
        <v>106</v>
      </c>
      <c r="H904">
        <v>40</v>
      </c>
      <c r="I904" t="s">
        <v>12</v>
      </c>
      <c r="J904" t="s">
        <v>12</v>
      </c>
      <c r="K904" t="s">
        <v>12</v>
      </c>
      <c r="L904" t="s">
        <v>858</v>
      </c>
      <c r="M904" t="s">
        <v>857</v>
      </c>
      <c r="O904">
        <f>32+35.9+36.9+27.8+11.4</f>
        <v>144.00000000000003</v>
      </c>
      <c r="GO904">
        <v>1</v>
      </c>
      <c r="GP904">
        <v>1</v>
      </c>
      <c r="GQ904">
        <v>1</v>
      </c>
    </row>
    <row r="905" spans="1:202" x14ac:dyDescent="0.25">
      <c r="A905" t="s">
        <v>661</v>
      </c>
      <c r="B905" t="s">
        <v>32</v>
      </c>
      <c r="C905" s="3">
        <v>21.19</v>
      </c>
      <c r="D905" s="3">
        <v>81.28</v>
      </c>
      <c r="E905" t="s">
        <v>12</v>
      </c>
      <c r="F905" t="s">
        <v>19</v>
      </c>
      <c r="G905" t="s">
        <v>106</v>
      </c>
      <c r="H905">
        <v>40</v>
      </c>
      <c r="I905" t="s">
        <v>12</v>
      </c>
      <c r="J905" t="s">
        <v>12</v>
      </c>
      <c r="K905" t="s">
        <v>12</v>
      </c>
      <c r="L905" t="s">
        <v>858</v>
      </c>
      <c r="M905" t="s">
        <v>857</v>
      </c>
      <c r="O905">
        <f>25+21+19.9+11+6.6</f>
        <v>83.5</v>
      </c>
      <c r="GR905">
        <v>1</v>
      </c>
      <c r="GS905">
        <v>1</v>
      </c>
      <c r="GT905">
        <v>1</v>
      </c>
    </row>
    <row r="906" spans="1:202" x14ac:dyDescent="0.25">
      <c r="A906" t="s">
        <v>558</v>
      </c>
      <c r="B906" t="s">
        <v>32</v>
      </c>
      <c r="C906" s="3">
        <v>28.43</v>
      </c>
      <c r="D906" s="3">
        <v>77.150000000000006</v>
      </c>
      <c r="E906" t="s">
        <v>15</v>
      </c>
      <c r="F906" t="s">
        <v>20</v>
      </c>
      <c r="G906" t="s">
        <v>214</v>
      </c>
      <c r="I906" t="s">
        <v>12</v>
      </c>
      <c r="J906" t="s">
        <v>12</v>
      </c>
      <c r="K906" t="s">
        <v>12</v>
      </c>
      <c r="L906" t="s">
        <v>559</v>
      </c>
      <c r="M906" t="s">
        <v>913</v>
      </c>
      <c r="O906">
        <v>112</v>
      </c>
      <c r="P906">
        <v>86</v>
      </c>
      <c r="FS906">
        <v>1</v>
      </c>
      <c r="FT906">
        <v>1</v>
      </c>
      <c r="FU906">
        <v>1</v>
      </c>
      <c r="GE906">
        <v>1</v>
      </c>
      <c r="GF906">
        <v>1</v>
      </c>
      <c r="GG906">
        <v>1</v>
      </c>
    </row>
    <row r="907" spans="1:202" x14ac:dyDescent="0.25">
      <c r="A907" t="s">
        <v>558</v>
      </c>
      <c r="B907" t="s">
        <v>32</v>
      </c>
      <c r="C907" s="3">
        <v>28.43</v>
      </c>
      <c r="D907" s="3">
        <v>77.150000000000006</v>
      </c>
      <c r="E907" t="s">
        <v>15</v>
      </c>
      <c r="F907" t="s">
        <v>20</v>
      </c>
      <c r="G907" t="s">
        <v>214</v>
      </c>
      <c r="I907" t="s">
        <v>12</v>
      </c>
      <c r="J907" t="s">
        <v>12</v>
      </c>
      <c r="K907" t="s">
        <v>12</v>
      </c>
      <c r="L907" t="s">
        <v>559</v>
      </c>
      <c r="M907" t="s">
        <v>913</v>
      </c>
      <c r="O907">
        <v>45</v>
      </c>
      <c r="P907">
        <v>26</v>
      </c>
      <c r="FV907">
        <v>1</v>
      </c>
      <c r="FW907">
        <v>1</v>
      </c>
      <c r="FX907">
        <v>1</v>
      </c>
      <c r="FY907">
        <v>1</v>
      </c>
      <c r="GH907">
        <v>1</v>
      </c>
      <c r="GI907">
        <v>1</v>
      </c>
      <c r="GJ907">
        <v>1</v>
      </c>
      <c r="GK907">
        <v>1</v>
      </c>
    </row>
    <row r="908" spans="1:202" x14ac:dyDescent="0.25">
      <c r="A908" t="s">
        <v>558</v>
      </c>
      <c r="B908" t="s">
        <v>32</v>
      </c>
      <c r="C908" s="3">
        <v>28.43</v>
      </c>
      <c r="D908" s="3">
        <v>77.150000000000006</v>
      </c>
      <c r="E908" t="s">
        <v>15</v>
      </c>
      <c r="F908" t="s">
        <v>20</v>
      </c>
      <c r="G908" t="s">
        <v>214</v>
      </c>
      <c r="I908" t="s">
        <v>12</v>
      </c>
      <c r="J908" t="s">
        <v>12</v>
      </c>
      <c r="K908" t="s">
        <v>12</v>
      </c>
      <c r="L908" t="s">
        <v>559</v>
      </c>
      <c r="M908" t="s">
        <v>913</v>
      </c>
      <c r="O908">
        <v>169</v>
      </c>
      <c r="P908">
        <v>149</v>
      </c>
      <c r="FZ908">
        <v>1</v>
      </c>
      <c r="GA908">
        <v>1</v>
      </c>
      <c r="GL908">
        <v>1</v>
      </c>
      <c r="GM908">
        <v>1</v>
      </c>
    </row>
    <row r="909" spans="1:202" x14ac:dyDescent="0.25">
      <c r="A909" t="s">
        <v>558</v>
      </c>
      <c r="B909" t="s">
        <v>32</v>
      </c>
      <c r="C909" s="3">
        <v>28.43</v>
      </c>
      <c r="D909" s="3">
        <v>77.150000000000006</v>
      </c>
      <c r="E909" t="s">
        <v>15</v>
      </c>
      <c r="F909" t="s">
        <v>20</v>
      </c>
      <c r="G909" t="s">
        <v>214</v>
      </c>
      <c r="I909" t="s">
        <v>12</v>
      </c>
      <c r="J909" t="s">
        <v>12</v>
      </c>
      <c r="K909" t="s">
        <v>12</v>
      </c>
      <c r="L909" t="s">
        <v>559</v>
      </c>
      <c r="M909" t="s">
        <v>913</v>
      </c>
      <c r="O909">
        <v>190</v>
      </c>
      <c r="P909">
        <v>109</v>
      </c>
      <c r="FP909">
        <v>1</v>
      </c>
      <c r="FQ909">
        <v>1</v>
      </c>
      <c r="FR909">
        <v>1</v>
      </c>
      <c r="GB909">
        <v>1</v>
      </c>
      <c r="GC909">
        <v>1</v>
      </c>
      <c r="GD909">
        <v>1</v>
      </c>
      <c r="GN909">
        <v>1</v>
      </c>
      <c r="GO909">
        <v>1</v>
      </c>
    </row>
    <row r="910" spans="1:202" x14ac:dyDescent="0.25">
      <c r="A910" t="s">
        <v>558</v>
      </c>
      <c r="B910" t="s">
        <v>32</v>
      </c>
      <c r="C910" s="3">
        <v>28.43</v>
      </c>
      <c r="D910" s="3">
        <v>77.150000000000006</v>
      </c>
      <c r="E910" t="s">
        <v>15</v>
      </c>
      <c r="F910" t="s">
        <v>20</v>
      </c>
      <c r="G910" t="s">
        <v>214</v>
      </c>
      <c r="I910" t="s">
        <v>12</v>
      </c>
      <c r="J910" t="s">
        <v>12</v>
      </c>
      <c r="K910" t="s">
        <v>12</v>
      </c>
      <c r="L910" t="s">
        <v>557</v>
      </c>
      <c r="M910" t="s">
        <v>914</v>
      </c>
      <c r="O910">
        <v>99.8</v>
      </c>
      <c r="FS910">
        <v>1</v>
      </c>
      <c r="FT910">
        <v>1</v>
      </c>
      <c r="FU910">
        <v>1</v>
      </c>
    </row>
    <row r="911" spans="1:202" x14ac:dyDescent="0.25">
      <c r="A911" t="s">
        <v>558</v>
      </c>
      <c r="B911" t="s">
        <v>32</v>
      </c>
      <c r="C911" s="3">
        <v>28.43</v>
      </c>
      <c r="D911" s="3">
        <v>77.150000000000006</v>
      </c>
      <c r="E911" t="s">
        <v>15</v>
      </c>
      <c r="F911" t="s">
        <v>20</v>
      </c>
      <c r="G911" t="s">
        <v>214</v>
      </c>
      <c r="I911" t="s">
        <v>12</v>
      </c>
      <c r="J911" t="s">
        <v>12</v>
      </c>
      <c r="K911" t="s">
        <v>12</v>
      </c>
      <c r="L911" t="s">
        <v>557</v>
      </c>
      <c r="M911" t="s">
        <v>914</v>
      </c>
      <c r="O911">
        <v>42.3</v>
      </c>
      <c r="FV911">
        <v>1</v>
      </c>
      <c r="FW911">
        <v>1</v>
      </c>
      <c r="FX911">
        <v>1</v>
      </c>
      <c r="FY911">
        <v>1</v>
      </c>
    </row>
    <row r="912" spans="1:202" x14ac:dyDescent="0.25">
      <c r="A912" t="s">
        <v>558</v>
      </c>
      <c r="B912" t="s">
        <v>32</v>
      </c>
      <c r="C912" s="3">
        <v>28.43</v>
      </c>
      <c r="D912" s="3">
        <v>77.150000000000006</v>
      </c>
      <c r="E912" t="s">
        <v>15</v>
      </c>
      <c r="F912" t="s">
        <v>20</v>
      </c>
      <c r="G912" t="s">
        <v>214</v>
      </c>
      <c r="I912" t="s">
        <v>12</v>
      </c>
      <c r="J912" t="s">
        <v>12</v>
      </c>
      <c r="K912" t="s">
        <v>12</v>
      </c>
      <c r="L912" t="s">
        <v>557</v>
      </c>
      <c r="M912" t="s">
        <v>914</v>
      </c>
      <c r="O912">
        <v>119.1</v>
      </c>
      <c r="GE912">
        <v>1</v>
      </c>
      <c r="GF912">
        <v>1</v>
      </c>
      <c r="GG912">
        <v>1</v>
      </c>
    </row>
    <row r="913" spans="1:220" x14ac:dyDescent="0.25">
      <c r="A913" t="s">
        <v>558</v>
      </c>
      <c r="B913" t="s">
        <v>32</v>
      </c>
      <c r="C913" s="3">
        <v>28.43</v>
      </c>
      <c r="D913" s="3">
        <v>77.150000000000006</v>
      </c>
      <c r="E913" t="s">
        <v>15</v>
      </c>
      <c r="F913" t="s">
        <v>20</v>
      </c>
      <c r="G913" t="s">
        <v>214</v>
      </c>
      <c r="I913" t="s">
        <v>12</v>
      </c>
      <c r="J913" t="s">
        <v>12</v>
      </c>
      <c r="K913" t="s">
        <v>12</v>
      </c>
      <c r="L913" t="s">
        <v>557</v>
      </c>
      <c r="M913" t="s">
        <v>914</v>
      </c>
      <c r="O913">
        <v>48.3</v>
      </c>
      <c r="GH913">
        <v>1</v>
      </c>
      <c r="GI913">
        <v>1</v>
      </c>
      <c r="GJ913">
        <v>1</v>
      </c>
      <c r="GK913">
        <v>1</v>
      </c>
    </row>
    <row r="914" spans="1:220" x14ac:dyDescent="0.25">
      <c r="A914" t="s">
        <v>350</v>
      </c>
      <c r="B914" t="s">
        <v>32</v>
      </c>
      <c r="C914" s="3">
        <v>21.6</v>
      </c>
      <c r="D914" s="3">
        <v>84</v>
      </c>
      <c r="E914" t="s">
        <v>12</v>
      </c>
      <c r="F914" t="s">
        <v>20</v>
      </c>
      <c r="G914" t="s">
        <v>106</v>
      </c>
      <c r="I914" t="s">
        <v>12</v>
      </c>
      <c r="J914" t="s">
        <v>12</v>
      </c>
      <c r="K914" t="s">
        <v>12</v>
      </c>
      <c r="L914" t="s">
        <v>351</v>
      </c>
      <c r="M914" t="s">
        <v>1026</v>
      </c>
      <c r="N914" t="s">
        <v>781</v>
      </c>
      <c r="O914">
        <v>14</v>
      </c>
      <c r="GQ914">
        <v>1</v>
      </c>
      <c r="GR914">
        <v>1</v>
      </c>
      <c r="GS914">
        <v>1</v>
      </c>
      <c r="HC914">
        <v>1</v>
      </c>
      <c r="HD914">
        <v>1</v>
      </c>
      <c r="HE914">
        <v>1</v>
      </c>
    </row>
    <row r="915" spans="1:220" x14ac:dyDescent="0.25">
      <c r="A915" t="s">
        <v>350</v>
      </c>
      <c r="B915" t="s">
        <v>32</v>
      </c>
      <c r="C915" s="3">
        <v>21.6</v>
      </c>
      <c r="D915" s="3">
        <v>84</v>
      </c>
      <c r="E915" t="s">
        <v>12</v>
      </c>
      <c r="F915" t="s">
        <v>20</v>
      </c>
      <c r="G915" t="s">
        <v>106</v>
      </c>
      <c r="I915" t="s">
        <v>12</v>
      </c>
      <c r="J915" t="s">
        <v>12</v>
      </c>
      <c r="K915" t="s">
        <v>12</v>
      </c>
      <c r="L915" t="s">
        <v>351</v>
      </c>
      <c r="M915" t="s">
        <v>1026</v>
      </c>
      <c r="N915" t="s">
        <v>781</v>
      </c>
      <c r="O915">
        <v>86</v>
      </c>
      <c r="GO915">
        <v>1</v>
      </c>
      <c r="GP915">
        <v>1</v>
      </c>
      <c r="GZ915">
        <v>1</v>
      </c>
      <c r="HA915">
        <v>1</v>
      </c>
      <c r="HB915">
        <v>1</v>
      </c>
      <c r="HL915">
        <v>1</v>
      </c>
    </row>
    <row r="916" spans="1:220" x14ac:dyDescent="0.25">
      <c r="A916" t="s">
        <v>350</v>
      </c>
      <c r="B916" t="s">
        <v>32</v>
      </c>
      <c r="C916" s="3">
        <v>21.6</v>
      </c>
      <c r="D916" s="3">
        <v>84</v>
      </c>
      <c r="E916" t="s">
        <v>12</v>
      </c>
      <c r="F916" t="s">
        <v>20</v>
      </c>
      <c r="G916" t="s">
        <v>106</v>
      </c>
      <c r="I916" t="s">
        <v>12</v>
      </c>
      <c r="J916" t="s">
        <v>12</v>
      </c>
      <c r="K916" t="s">
        <v>12</v>
      </c>
      <c r="L916" t="s">
        <v>351</v>
      </c>
      <c r="M916" t="s">
        <v>1026</v>
      </c>
      <c r="N916" t="s">
        <v>781</v>
      </c>
      <c r="O916">
        <f>MEDIAN(68,21,15)</f>
        <v>21</v>
      </c>
      <c r="GX916">
        <v>1</v>
      </c>
      <c r="GY916">
        <v>1</v>
      </c>
      <c r="HJ916">
        <v>1</v>
      </c>
      <c r="HK916">
        <v>1</v>
      </c>
    </row>
    <row r="917" spans="1:220" x14ac:dyDescent="0.25">
      <c r="A917" t="s">
        <v>350</v>
      </c>
      <c r="B917" t="s">
        <v>32</v>
      </c>
      <c r="C917" s="3">
        <v>21.6</v>
      </c>
      <c r="D917" s="3">
        <v>84</v>
      </c>
      <c r="E917" t="s">
        <v>12</v>
      </c>
      <c r="F917" t="s">
        <v>22</v>
      </c>
      <c r="G917" t="s">
        <v>106</v>
      </c>
      <c r="I917" t="s">
        <v>12</v>
      </c>
      <c r="J917" t="s">
        <v>12</v>
      </c>
      <c r="K917" t="s">
        <v>12</v>
      </c>
      <c r="L917" t="s">
        <v>351</v>
      </c>
      <c r="M917" t="s">
        <v>1026</v>
      </c>
      <c r="N917" t="s">
        <v>781</v>
      </c>
      <c r="O917">
        <f>MEDIAN(28,373,33,36,15,38,33,82)</f>
        <v>34.5</v>
      </c>
      <c r="GQ917">
        <v>1</v>
      </c>
      <c r="GR917">
        <v>1</v>
      </c>
      <c r="GS917">
        <v>1</v>
      </c>
      <c r="HC917">
        <v>1</v>
      </c>
      <c r="HD917">
        <v>1</v>
      </c>
      <c r="HE917">
        <v>1</v>
      </c>
    </row>
    <row r="918" spans="1:220" x14ac:dyDescent="0.25">
      <c r="A918" t="s">
        <v>350</v>
      </c>
      <c r="B918" t="s">
        <v>32</v>
      </c>
      <c r="C918" s="3">
        <v>21.6</v>
      </c>
      <c r="D918" s="3">
        <v>84</v>
      </c>
      <c r="E918" t="s">
        <v>12</v>
      </c>
      <c r="F918" t="s">
        <v>22</v>
      </c>
      <c r="G918" t="s">
        <v>106</v>
      </c>
      <c r="I918" t="s">
        <v>12</v>
      </c>
      <c r="J918" t="s">
        <v>12</v>
      </c>
      <c r="K918" t="s">
        <v>12</v>
      </c>
      <c r="L918" t="s">
        <v>351</v>
      </c>
      <c r="M918" t="s">
        <v>1026</v>
      </c>
      <c r="N918" t="s">
        <v>781</v>
      </c>
      <c r="O918">
        <f>MEDIAN(13,11,63,12,87,16,95,96,42,12,18,61,11,44,71,77)</f>
        <v>43</v>
      </c>
      <c r="GO918">
        <v>1</v>
      </c>
      <c r="GP918">
        <v>1</v>
      </c>
      <c r="GZ918">
        <v>1</v>
      </c>
      <c r="HA918">
        <v>1</v>
      </c>
      <c r="HB918">
        <v>1</v>
      </c>
      <c r="HL918">
        <v>1</v>
      </c>
    </row>
    <row r="919" spans="1:220" x14ac:dyDescent="0.25">
      <c r="A919" t="s">
        <v>350</v>
      </c>
      <c r="B919" t="s">
        <v>32</v>
      </c>
      <c r="C919" s="3">
        <v>21.6</v>
      </c>
      <c r="D919" s="3">
        <v>84</v>
      </c>
      <c r="E919" t="s">
        <v>12</v>
      </c>
      <c r="F919" t="s">
        <v>22</v>
      </c>
      <c r="G919" t="s">
        <v>106</v>
      </c>
      <c r="I919" t="s">
        <v>12</v>
      </c>
      <c r="J919" t="s">
        <v>12</v>
      </c>
      <c r="K919" t="s">
        <v>12</v>
      </c>
      <c r="L919" t="s">
        <v>351</v>
      </c>
      <c r="M919" t="s">
        <v>1026</v>
      </c>
      <c r="N919" t="s">
        <v>781</v>
      </c>
      <c r="O919">
        <f>MEDIAN(43,58,64,63,48,84,61,94,79,20)</f>
        <v>62</v>
      </c>
      <c r="GX919">
        <v>1</v>
      </c>
      <c r="GY919">
        <v>1</v>
      </c>
      <c r="HJ919">
        <v>1</v>
      </c>
      <c r="HK919">
        <v>1</v>
      </c>
    </row>
    <row r="920" spans="1:220" x14ac:dyDescent="0.25">
      <c r="A920" t="s">
        <v>350</v>
      </c>
      <c r="B920" t="s">
        <v>32</v>
      </c>
      <c r="C920" s="3">
        <v>21.6</v>
      </c>
      <c r="D920" s="3">
        <v>84</v>
      </c>
      <c r="E920" t="s">
        <v>12</v>
      </c>
      <c r="F920" t="s">
        <v>21</v>
      </c>
      <c r="G920" t="s">
        <v>106</v>
      </c>
      <c r="I920" t="s">
        <v>12</v>
      </c>
      <c r="J920" t="s">
        <v>12</v>
      </c>
      <c r="K920" t="s">
        <v>12</v>
      </c>
      <c r="L920" t="s">
        <v>351</v>
      </c>
      <c r="M920" t="s">
        <v>1026</v>
      </c>
      <c r="N920" t="s">
        <v>781</v>
      </c>
      <c r="O920">
        <f>MEDIAN(35,22,80,17)</f>
        <v>28.5</v>
      </c>
      <c r="GQ920">
        <v>1</v>
      </c>
      <c r="GR920">
        <v>1</v>
      </c>
      <c r="GS920">
        <v>1</v>
      </c>
      <c r="HC920">
        <v>1</v>
      </c>
      <c r="HD920">
        <v>1</v>
      </c>
      <c r="HE920">
        <v>1</v>
      </c>
    </row>
    <row r="921" spans="1:220" x14ac:dyDescent="0.25">
      <c r="A921" t="s">
        <v>350</v>
      </c>
      <c r="B921" t="s">
        <v>32</v>
      </c>
      <c r="C921" s="3">
        <v>21.6</v>
      </c>
      <c r="D921" s="3">
        <v>84</v>
      </c>
      <c r="E921" t="s">
        <v>12</v>
      </c>
      <c r="F921" t="s">
        <v>21</v>
      </c>
      <c r="G921" t="s">
        <v>106</v>
      </c>
      <c r="I921" t="s">
        <v>12</v>
      </c>
      <c r="J921" t="s">
        <v>12</v>
      </c>
      <c r="K921" t="s">
        <v>12</v>
      </c>
      <c r="L921" t="s">
        <v>351</v>
      </c>
      <c r="M921" t="s">
        <v>1026</v>
      </c>
      <c r="N921" t="s">
        <v>781</v>
      </c>
      <c r="O921">
        <f>MEDIAN(75,90)</f>
        <v>82.5</v>
      </c>
      <c r="GO921">
        <v>1</v>
      </c>
      <c r="GP921">
        <v>1</v>
      </c>
      <c r="GZ921">
        <v>1</v>
      </c>
      <c r="HA921">
        <v>1</v>
      </c>
      <c r="HB921">
        <v>1</v>
      </c>
      <c r="HL921">
        <v>1</v>
      </c>
    </row>
    <row r="922" spans="1:220" x14ac:dyDescent="0.25">
      <c r="A922" t="s">
        <v>350</v>
      </c>
      <c r="B922" t="s">
        <v>32</v>
      </c>
      <c r="C922" s="3">
        <v>21.6</v>
      </c>
      <c r="D922" s="3">
        <v>84</v>
      </c>
      <c r="E922" t="s">
        <v>12</v>
      </c>
      <c r="F922" t="s">
        <v>21</v>
      </c>
      <c r="G922" t="s">
        <v>106</v>
      </c>
      <c r="I922" t="s">
        <v>12</v>
      </c>
      <c r="J922" t="s">
        <v>12</v>
      </c>
      <c r="K922" t="s">
        <v>12</v>
      </c>
      <c r="L922" t="s">
        <v>351</v>
      </c>
      <c r="M922" t="s">
        <v>1026</v>
      </c>
      <c r="N922" t="s">
        <v>781</v>
      </c>
      <c r="O922">
        <f>MEDIAN(58,59,26,53,48)</f>
        <v>53</v>
      </c>
      <c r="GX922">
        <v>1</v>
      </c>
      <c r="GY922">
        <v>1</v>
      </c>
      <c r="HJ922">
        <v>1</v>
      </c>
      <c r="HK922">
        <v>1</v>
      </c>
    </row>
    <row r="923" spans="1:220" x14ac:dyDescent="0.25">
      <c r="A923" t="s">
        <v>350</v>
      </c>
      <c r="B923" t="s">
        <v>32</v>
      </c>
      <c r="C923" s="3">
        <v>21.6</v>
      </c>
      <c r="D923" s="3">
        <v>84</v>
      </c>
      <c r="E923" t="s">
        <v>12</v>
      </c>
      <c r="F923" t="s">
        <v>77</v>
      </c>
      <c r="G923" t="s">
        <v>106</v>
      </c>
      <c r="I923" t="s">
        <v>12</v>
      </c>
      <c r="J923" t="s">
        <v>12</v>
      </c>
      <c r="K923" t="s">
        <v>12</v>
      </c>
      <c r="L923" t="s">
        <v>351</v>
      </c>
      <c r="M923" t="s">
        <v>1026</v>
      </c>
      <c r="N923" t="s">
        <v>781</v>
      </c>
      <c r="O923">
        <v>56</v>
      </c>
      <c r="GQ923">
        <v>1</v>
      </c>
      <c r="GR923">
        <v>1</v>
      </c>
      <c r="GS923">
        <v>1</v>
      </c>
      <c r="HC923">
        <v>1</v>
      </c>
      <c r="HD923">
        <v>1</v>
      </c>
      <c r="HE923">
        <v>1</v>
      </c>
    </row>
    <row r="924" spans="1:220" x14ac:dyDescent="0.25">
      <c r="A924" t="s">
        <v>350</v>
      </c>
      <c r="B924" t="s">
        <v>32</v>
      </c>
      <c r="C924" s="3">
        <v>21.6</v>
      </c>
      <c r="D924" s="3">
        <v>84</v>
      </c>
      <c r="E924" t="s">
        <v>12</v>
      </c>
      <c r="F924" t="s">
        <v>77</v>
      </c>
      <c r="G924" t="s">
        <v>106</v>
      </c>
      <c r="I924" t="s">
        <v>12</v>
      </c>
      <c r="J924" t="s">
        <v>12</v>
      </c>
      <c r="K924" t="s">
        <v>12</v>
      </c>
      <c r="L924" t="s">
        <v>351</v>
      </c>
      <c r="M924" t="s">
        <v>1026</v>
      </c>
      <c r="N924" t="s">
        <v>781</v>
      </c>
      <c r="O924">
        <f>MEDIAN(71,59)</f>
        <v>65</v>
      </c>
      <c r="GX924">
        <v>1</v>
      </c>
      <c r="GY924">
        <v>1</v>
      </c>
      <c r="HJ924">
        <v>1</v>
      </c>
      <c r="HK924">
        <v>1</v>
      </c>
    </row>
    <row r="925" spans="1:220" x14ac:dyDescent="0.25">
      <c r="A925" t="s">
        <v>489</v>
      </c>
      <c r="B925" t="s">
        <v>32</v>
      </c>
      <c r="C925" s="3">
        <v>17.37</v>
      </c>
      <c r="D925" s="3">
        <v>78.489999999999995</v>
      </c>
      <c r="E925" t="s">
        <v>12</v>
      </c>
      <c r="F925" t="s">
        <v>77</v>
      </c>
      <c r="G925" t="s">
        <v>60</v>
      </c>
      <c r="I925" t="s">
        <v>12</v>
      </c>
      <c r="J925" t="s">
        <v>12</v>
      </c>
      <c r="K925" t="s">
        <v>15</v>
      </c>
      <c r="L925" t="s">
        <v>598</v>
      </c>
      <c r="M925" t="s">
        <v>882</v>
      </c>
      <c r="O925">
        <v>72</v>
      </c>
      <c r="DZ925">
        <v>1</v>
      </c>
    </row>
    <row r="926" spans="1:220" x14ac:dyDescent="0.25">
      <c r="A926" t="s">
        <v>489</v>
      </c>
      <c r="B926" t="s">
        <v>32</v>
      </c>
      <c r="C926" s="3">
        <v>17.37</v>
      </c>
      <c r="D926" s="3">
        <v>78.489999999999995</v>
      </c>
      <c r="E926" t="s">
        <v>12</v>
      </c>
      <c r="F926" t="s">
        <v>77</v>
      </c>
      <c r="G926" t="s">
        <v>60</v>
      </c>
      <c r="I926" t="s">
        <v>12</v>
      </c>
      <c r="J926" t="s">
        <v>12</v>
      </c>
      <c r="K926" t="s">
        <v>15</v>
      </c>
      <c r="L926" t="s">
        <v>598</v>
      </c>
      <c r="M926" t="s">
        <v>882</v>
      </c>
      <c r="O926">
        <v>69</v>
      </c>
      <c r="EA926">
        <v>1</v>
      </c>
    </row>
    <row r="927" spans="1:220" x14ac:dyDescent="0.25">
      <c r="A927" t="s">
        <v>489</v>
      </c>
      <c r="B927" t="s">
        <v>32</v>
      </c>
      <c r="C927" s="3">
        <v>17.37</v>
      </c>
      <c r="D927" s="3">
        <v>78.489999999999995</v>
      </c>
      <c r="E927" t="s">
        <v>12</v>
      </c>
      <c r="F927" t="s">
        <v>77</v>
      </c>
      <c r="G927" t="s">
        <v>60</v>
      </c>
      <c r="I927" t="s">
        <v>12</v>
      </c>
      <c r="J927" t="s">
        <v>12</v>
      </c>
      <c r="K927" t="s">
        <v>15</v>
      </c>
      <c r="L927" t="s">
        <v>598</v>
      </c>
      <c r="M927" t="s">
        <v>882</v>
      </c>
      <c r="O927">
        <v>73</v>
      </c>
      <c r="EB927">
        <v>1</v>
      </c>
    </row>
    <row r="928" spans="1:220" x14ac:dyDescent="0.25">
      <c r="A928" t="s">
        <v>489</v>
      </c>
      <c r="B928" t="s">
        <v>32</v>
      </c>
      <c r="C928" s="3">
        <v>17.37</v>
      </c>
      <c r="D928" s="3">
        <v>78.489999999999995</v>
      </c>
      <c r="E928" t="s">
        <v>12</v>
      </c>
      <c r="F928" t="s">
        <v>77</v>
      </c>
      <c r="G928" t="s">
        <v>60</v>
      </c>
      <c r="I928" t="s">
        <v>12</v>
      </c>
      <c r="J928" t="s">
        <v>12</v>
      </c>
      <c r="K928" t="s">
        <v>15</v>
      </c>
      <c r="L928" t="s">
        <v>598</v>
      </c>
      <c r="M928" t="s">
        <v>882</v>
      </c>
      <c r="O928">
        <v>33</v>
      </c>
      <c r="EC928">
        <v>1</v>
      </c>
    </row>
    <row r="929" spans="1:141" x14ac:dyDescent="0.25">
      <c r="A929" t="s">
        <v>489</v>
      </c>
      <c r="B929" t="s">
        <v>32</v>
      </c>
      <c r="C929" s="3">
        <v>17.37</v>
      </c>
      <c r="D929" s="3">
        <v>78.489999999999995</v>
      </c>
      <c r="E929" t="s">
        <v>12</v>
      </c>
      <c r="F929" t="s">
        <v>77</v>
      </c>
      <c r="G929" t="s">
        <v>60</v>
      </c>
      <c r="I929" t="s">
        <v>12</v>
      </c>
      <c r="J929" t="s">
        <v>12</v>
      </c>
      <c r="K929" t="s">
        <v>15</v>
      </c>
      <c r="L929" t="s">
        <v>598</v>
      </c>
      <c r="M929" t="s">
        <v>882</v>
      </c>
      <c r="O929">
        <v>31</v>
      </c>
      <c r="ED929">
        <v>1</v>
      </c>
    </row>
    <row r="930" spans="1:141" x14ac:dyDescent="0.25">
      <c r="A930" t="s">
        <v>489</v>
      </c>
      <c r="B930" t="s">
        <v>32</v>
      </c>
      <c r="C930" s="3">
        <v>17.37</v>
      </c>
      <c r="D930" s="3">
        <v>78.489999999999995</v>
      </c>
      <c r="E930" t="s">
        <v>12</v>
      </c>
      <c r="F930" t="s">
        <v>77</v>
      </c>
      <c r="G930" t="s">
        <v>60</v>
      </c>
      <c r="I930" t="s">
        <v>12</v>
      </c>
      <c r="J930" t="s">
        <v>12</v>
      </c>
      <c r="K930" t="s">
        <v>15</v>
      </c>
      <c r="L930" t="s">
        <v>598</v>
      </c>
      <c r="M930" t="s">
        <v>882</v>
      </c>
      <c r="O930">
        <v>30</v>
      </c>
      <c r="EE930">
        <v>1</v>
      </c>
    </row>
    <row r="931" spans="1:141" x14ac:dyDescent="0.25">
      <c r="A931" t="s">
        <v>489</v>
      </c>
      <c r="B931" t="s">
        <v>32</v>
      </c>
      <c r="C931" s="3">
        <v>17.37</v>
      </c>
      <c r="D931" s="3">
        <v>78.489999999999995</v>
      </c>
      <c r="E931" t="s">
        <v>12</v>
      </c>
      <c r="F931" t="s">
        <v>77</v>
      </c>
      <c r="G931" t="s">
        <v>60</v>
      </c>
      <c r="I931" t="s">
        <v>12</v>
      </c>
      <c r="J931" t="s">
        <v>12</v>
      </c>
      <c r="K931" t="s">
        <v>15</v>
      </c>
      <c r="L931" t="s">
        <v>598</v>
      </c>
      <c r="M931" t="s">
        <v>882</v>
      </c>
      <c r="O931">
        <v>28</v>
      </c>
      <c r="EF931">
        <v>1</v>
      </c>
    </row>
    <row r="932" spans="1:141" x14ac:dyDescent="0.25">
      <c r="A932" t="s">
        <v>489</v>
      </c>
      <c r="B932" t="s">
        <v>32</v>
      </c>
      <c r="C932" s="3">
        <v>17.37</v>
      </c>
      <c r="D932" s="3">
        <v>78.489999999999995</v>
      </c>
      <c r="E932" t="s">
        <v>12</v>
      </c>
      <c r="F932" t="s">
        <v>77</v>
      </c>
      <c r="G932" t="s">
        <v>60</v>
      </c>
      <c r="I932" t="s">
        <v>12</v>
      </c>
      <c r="J932" t="s">
        <v>12</v>
      </c>
      <c r="K932" t="s">
        <v>15</v>
      </c>
      <c r="L932" t="s">
        <v>598</v>
      </c>
      <c r="M932" t="s">
        <v>882</v>
      </c>
      <c r="O932">
        <v>30</v>
      </c>
      <c r="EG932">
        <v>1</v>
      </c>
    </row>
    <row r="933" spans="1:141" x14ac:dyDescent="0.25">
      <c r="A933" t="s">
        <v>489</v>
      </c>
      <c r="B933" t="s">
        <v>32</v>
      </c>
      <c r="C933" s="3">
        <v>17.37</v>
      </c>
      <c r="D933" s="3">
        <v>78.489999999999995</v>
      </c>
      <c r="E933" t="s">
        <v>12</v>
      </c>
      <c r="F933" t="s">
        <v>77</v>
      </c>
      <c r="G933" t="s">
        <v>60</v>
      </c>
      <c r="I933" t="s">
        <v>12</v>
      </c>
      <c r="J933" t="s">
        <v>12</v>
      </c>
      <c r="K933" t="s">
        <v>15</v>
      </c>
      <c r="L933" t="s">
        <v>598</v>
      </c>
      <c r="M933" t="s">
        <v>882</v>
      </c>
      <c r="O933">
        <v>30</v>
      </c>
      <c r="EH933">
        <v>1</v>
      </c>
    </row>
    <row r="934" spans="1:141" x14ac:dyDescent="0.25">
      <c r="A934" t="s">
        <v>489</v>
      </c>
      <c r="B934" t="s">
        <v>32</v>
      </c>
      <c r="C934" s="3">
        <v>17.37</v>
      </c>
      <c r="D934" s="3">
        <v>78.489999999999995</v>
      </c>
      <c r="E934" t="s">
        <v>12</v>
      </c>
      <c r="F934" t="s">
        <v>77</v>
      </c>
      <c r="G934" t="s">
        <v>60</v>
      </c>
      <c r="I934" t="s">
        <v>12</v>
      </c>
      <c r="J934" t="s">
        <v>12</v>
      </c>
      <c r="K934" t="s">
        <v>15</v>
      </c>
      <c r="L934" t="s">
        <v>598</v>
      </c>
      <c r="M934" t="s">
        <v>882</v>
      </c>
      <c r="O934">
        <v>65</v>
      </c>
      <c r="EI934">
        <v>1</v>
      </c>
    </row>
    <row r="935" spans="1:141" x14ac:dyDescent="0.25">
      <c r="A935" t="s">
        <v>489</v>
      </c>
      <c r="B935" t="s">
        <v>32</v>
      </c>
      <c r="C935" s="3">
        <v>17.37</v>
      </c>
      <c r="D935" s="3">
        <v>78.489999999999995</v>
      </c>
      <c r="E935" t="s">
        <v>12</v>
      </c>
      <c r="F935" t="s">
        <v>77</v>
      </c>
      <c r="G935" t="s">
        <v>60</v>
      </c>
      <c r="I935" t="s">
        <v>12</v>
      </c>
      <c r="J935" t="s">
        <v>12</v>
      </c>
      <c r="K935" t="s">
        <v>15</v>
      </c>
      <c r="L935" t="s">
        <v>598</v>
      </c>
      <c r="M935" t="s">
        <v>882</v>
      </c>
      <c r="O935">
        <v>67</v>
      </c>
      <c r="EJ935">
        <v>1</v>
      </c>
    </row>
    <row r="936" spans="1:141" x14ac:dyDescent="0.25">
      <c r="A936" t="s">
        <v>489</v>
      </c>
      <c r="B936" t="s">
        <v>32</v>
      </c>
      <c r="C936" s="3">
        <v>17.37</v>
      </c>
      <c r="D936" s="3">
        <v>78.489999999999995</v>
      </c>
      <c r="E936" t="s">
        <v>12</v>
      </c>
      <c r="F936" t="s">
        <v>77</v>
      </c>
      <c r="G936" t="s">
        <v>60</v>
      </c>
      <c r="I936" t="s">
        <v>12</v>
      </c>
      <c r="J936" t="s">
        <v>12</v>
      </c>
      <c r="K936" t="s">
        <v>15</v>
      </c>
      <c r="L936" t="s">
        <v>598</v>
      </c>
      <c r="M936" t="s">
        <v>882</v>
      </c>
      <c r="O936">
        <v>68</v>
      </c>
      <c r="EK936">
        <v>1</v>
      </c>
    </row>
    <row r="937" spans="1:141" x14ac:dyDescent="0.25">
      <c r="A937" t="s">
        <v>489</v>
      </c>
      <c r="B937" t="s">
        <v>32</v>
      </c>
      <c r="C937" s="3">
        <f t="shared" ref="C937:C948" si="24">17+28/60</f>
        <v>17.466666666666665</v>
      </c>
      <c r="D937" s="3">
        <f t="shared" ref="D937:D948" si="25">78+26/60</f>
        <v>78.433333333333337</v>
      </c>
      <c r="E937" t="s">
        <v>15</v>
      </c>
      <c r="F937" t="s">
        <v>77</v>
      </c>
      <c r="G937" t="s">
        <v>106</v>
      </c>
      <c r="I937" t="s">
        <v>12</v>
      </c>
      <c r="J937" t="s">
        <v>12</v>
      </c>
      <c r="K937" t="s">
        <v>12</v>
      </c>
      <c r="L937" t="s">
        <v>490</v>
      </c>
      <c r="M937" t="s">
        <v>952</v>
      </c>
      <c r="O937">
        <v>37</v>
      </c>
      <c r="DI937">
        <v>1</v>
      </c>
    </row>
    <row r="938" spans="1:141" x14ac:dyDescent="0.25">
      <c r="A938" t="s">
        <v>489</v>
      </c>
      <c r="B938" t="s">
        <v>32</v>
      </c>
      <c r="C938" s="3">
        <f t="shared" si="24"/>
        <v>17.466666666666665</v>
      </c>
      <c r="D938" s="3">
        <f t="shared" si="25"/>
        <v>78.433333333333337</v>
      </c>
      <c r="E938" t="s">
        <v>15</v>
      </c>
      <c r="F938" t="s">
        <v>77</v>
      </c>
      <c r="G938" t="s">
        <v>106</v>
      </c>
      <c r="I938" t="s">
        <v>12</v>
      </c>
      <c r="J938" t="s">
        <v>12</v>
      </c>
      <c r="K938" t="s">
        <v>12</v>
      </c>
      <c r="L938" t="s">
        <v>490</v>
      </c>
      <c r="M938" t="s">
        <v>952</v>
      </c>
      <c r="O938">
        <v>22</v>
      </c>
      <c r="DJ938">
        <v>1</v>
      </c>
    </row>
    <row r="939" spans="1:141" x14ac:dyDescent="0.25">
      <c r="A939" t="s">
        <v>489</v>
      </c>
      <c r="B939" t="s">
        <v>32</v>
      </c>
      <c r="C939" s="3">
        <f t="shared" si="24"/>
        <v>17.466666666666665</v>
      </c>
      <c r="D939" s="3">
        <f t="shared" si="25"/>
        <v>78.433333333333337</v>
      </c>
      <c r="E939" t="s">
        <v>15</v>
      </c>
      <c r="F939" t="s">
        <v>77</v>
      </c>
      <c r="G939" t="s">
        <v>106</v>
      </c>
      <c r="I939" t="s">
        <v>12</v>
      </c>
      <c r="J939" t="s">
        <v>12</v>
      </c>
      <c r="K939" t="s">
        <v>12</v>
      </c>
      <c r="L939" t="s">
        <v>490</v>
      </c>
      <c r="M939" t="s">
        <v>952</v>
      </c>
      <c r="O939">
        <v>38</v>
      </c>
      <c r="DK939">
        <v>1</v>
      </c>
    </row>
    <row r="940" spans="1:141" x14ac:dyDescent="0.25">
      <c r="A940" t="s">
        <v>489</v>
      </c>
      <c r="B940" t="s">
        <v>32</v>
      </c>
      <c r="C940" s="3">
        <f t="shared" si="24"/>
        <v>17.466666666666665</v>
      </c>
      <c r="D940" s="3">
        <f t="shared" si="25"/>
        <v>78.433333333333337</v>
      </c>
      <c r="E940" t="s">
        <v>15</v>
      </c>
      <c r="F940" t="s">
        <v>77</v>
      </c>
      <c r="G940" t="s">
        <v>106</v>
      </c>
      <c r="I940" t="s">
        <v>12</v>
      </c>
      <c r="J940" t="s">
        <v>12</v>
      </c>
      <c r="K940" t="s">
        <v>12</v>
      </c>
      <c r="L940" t="s">
        <v>490</v>
      </c>
      <c r="M940" t="s">
        <v>952</v>
      </c>
      <c r="O940">
        <v>17</v>
      </c>
      <c r="DL940">
        <v>1</v>
      </c>
    </row>
    <row r="941" spans="1:141" x14ac:dyDescent="0.25">
      <c r="A941" t="s">
        <v>489</v>
      </c>
      <c r="B941" t="s">
        <v>32</v>
      </c>
      <c r="C941" s="3">
        <f t="shared" si="24"/>
        <v>17.466666666666665</v>
      </c>
      <c r="D941" s="3">
        <f t="shared" si="25"/>
        <v>78.433333333333337</v>
      </c>
      <c r="E941" t="s">
        <v>15</v>
      </c>
      <c r="F941" t="s">
        <v>77</v>
      </c>
      <c r="G941" t="s">
        <v>106</v>
      </c>
      <c r="I941" t="s">
        <v>12</v>
      </c>
      <c r="J941" t="s">
        <v>12</v>
      </c>
      <c r="K941" t="s">
        <v>12</v>
      </c>
      <c r="L941" t="s">
        <v>490</v>
      </c>
      <c r="M941" t="s">
        <v>952</v>
      </c>
      <c r="O941">
        <v>8</v>
      </c>
      <c r="DM941">
        <v>1</v>
      </c>
    </row>
    <row r="942" spans="1:141" x14ac:dyDescent="0.25">
      <c r="A942" t="s">
        <v>489</v>
      </c>
      <c r="B942" t="s">
        <v>32</v>
      </c>
      <c r="C942" s="3">
        <f t="shared" si="24"/>
        <v>17.466666666666665</v>
      </c>
      <c r="D942" s="3">
        <f t="shared" si="25"/>
        <v>78.433333333333337</v>
      </c>
      <c r="E942" t="s">
        <v>15</v>
      </c>
      <c r="F942" t="s">
        <v>77</v>
      </c>
      <c r="G942" t="s">
        <v>106</v>
      </c>
      <c r="I942" t="s">
        <v>12</v>
      </c>
      <c r="J942" t="s">
        <v>12</v>
      </c>
      <c r="K942" t="s">
        <v>12</v>
      </c>
      <c r="L942" t="s">
        <v>490</v>
      </c>
      <c r="M942" t="s">
        <v>952</v>
      </c>
      <c r="O942">
        <v>2</v>
      </c>
      <c r="DN942">
        <v>1</v>
      </c>
    </row>
    <row r="943" spans="1:141" x14ac:dyDescent="0.25">
      <c r="A943" t="s">
        <v>489</v>
      </c>
      <c r="B943" t="s">
        <v>32</v>
      </c>
      <c r="C943" s="3">
        <f t="shared" si="24"/>
        <v>17.466666666666665</v>
      </c>
      <c r="D943" s="3">
        <f t="shared" si="25"/>
        <v>78.433333333333337</v>
      </c>
      <c r="E943" t="s">
        <v>15</v>
      </c>
      <c r="F943" t="s">
        <v>77</v>
      </c>
      <c r="G943" t="s">
        <v>106</v>
      </c>
      <c r="I943" t="s">
        <v>12</v>
      </c>
      <c r="J943" t="s">
        <v>12</v>
      </c>
      <c r="K943" t="s">
        <v>12</v>
      </c>
      <c r="L943" t="s">
        <v>490</v>
      </c>
      <c r="M943" t="s">
        <v>952</v>
      </c>
      <c r="O943">
        <v>19</v>
      </c>
      <c r="DO943">
        <v>1</v>
      </c>
    </row>
    <row r="944" spans="1:141" x14ac:dyDescent="0.25">
      <c r="A944" t="s">
        <v>489</v>
      </c>
      <c r="B944" t="s">
        <v>32</v>
      </c>
      <c r="C944" s="3">
        <f t="shared" si="24"/>
        <v>17.466666666666665</v>
      </c>
      <c r="D944" s="3">
        <f t="shared" si="25"/>
        <v>78.433333333333337</v>
      </c>
      <c r="E944" t="s">
        <v>15</v>
      </c>
      <c r="F944" t="s">
        <v>77</v>
      </c>
      <c r="G944" t="s">
        <v>106</v>
      </c>
      <c r="I944" t="s">
        <v>12</v>
      </c>
      <c r="J944" t="s">
        <v>12</v>
      </c>
      <c r="K944" t="s">
        <v>12</v>
      </c>
      <c r="L944" t="s">
        <v>490</v>
      </c>
      <c r="M944" t="s">
        <v>952</v>
      </c>
      <c r="O944">
        <v>10</v>
      </c>
      <c r="DP944">
        <v>1</v>
      </c>
    </row>
    <row r="945" spans="1:184" x14ac:dyDescent="0.25">
      <c r="A945" t="s">
        <v>489</v>
      </c>
      <c r="B945" t="s">
        <v>32</v>
      </c>
      <c r="C945" s="3">
        <f t="shared" si="24"/>
        <v>17.466666666666665</v>
      </c>
      <c r="D945" s="3">
        <f t="shared" si="25"/>
        <v>78.433333333333337</v>
      </c>
      <c r="E945" t="s">
        <v>15</v>
      </c>
      <c r="F945" t="s">
        <v>77</v>
      </c>
      <c r="G945" t="s">
        <v>106</v>
      </c>
      <c r="I945" t="s">
        <v>12</v>
      </c>
      <c r="J945" t="s">
        <v>12</v>
      </c>
      <c r="K945" t="s">
        <v>12</v>
      </c>
      <c r="L945" t="s">
        <v>490</v>
      </c>
      <c r="M945" t="s">
        <v>952</v>
      </c>
      <c r="O945">
        <v>20</v>
      </c>
      <c r="DQ945">
        <v>1</v>
      </c>
    </row>
    <row r="946" spans="1:184" x14ac:dyDescent="0.25">
      <c r="A946" t="s">
        <v>489</v>
      </c>
      <c r="B946" t="s">
        <v>32</v>
      </c>
      <c r="C946" s="3">
        <f t="shared" si="24"/>
        <v>17.466666666666665</v>
      </c>
      <c r="D946" s="3">
        <f t="shared" si="25"/>
        <v>78.433333333333337</v>
      </c>
      <c r="E946" t="s">
        <v>15</v>
      </c>
      <c r="F946" t="s">
        <v>77</v>
      </c>
      <c r="G946" t="s">
        <v>106</v>
      </c>
      <c r="I946" t="s">
        <v>12</v>
      </c>
      <c r="J946" t="s">
        <v>12</v>
      </c>
      <c r="K946" t="s">
        <v>12</v>
      </c>
      <c r="L946" t="s">
        <v>490</v>
      </c>
      <c r="M946" t="s">
        <v>952</v>
      </c>
      <c r="O946">
        <v>30</v>
      </c>
      <c r="DR946">
        <v>1</v>
      </c>
    </row>
    <row r="947" spans="1:184" x14ac:dyDescent="0.25">
      <c r="A947" t="s">
        <v>489</v>
      </c>
      <c r="B947" t="s">
        <v>32</v>
      </c>
      <c r="C947" s="3">
        <f t="shared" si="24"/>
        <v>17.466666666666665</v>
      </c>
      <c r="D947" s="3">
        <f t="shared" si="25"/>
        <v>78.433333333333337</v>
      </c>
      <c r="E947" t="s">
        <v>15</v>
      </c>
      <c r="F947" t="s">
        <v>77</v>
      </c>
      <c r="G947" t="s">
        <v>106</v>
      </c>
      <c r="I947" t="s">
        <v>12</v>
      </c>
      <c r="J947" t="s">
        <v>12</v>
      </c>
      <c r="K947" t="s">
        <v>12</v>
      </c>
      <c r="L947" t="s">
        <v>490</v>
      </c>
      <c r="M947" t="s">
        <v>952</v>
      </c>
      <c r="O947">
        <v>32</v>
      </c>
      <c r="DS947">
        <v>1</v>
      </c>
    </row>
    <row r="948" spans="1:184" x14ac:dyDescent="0.25">
      <c r="A948" t="s">
        <v>489</v>
      </c>
      <c r="B948" t="s">
        <v>32</v>
      </c>
      <c r="C948" s="3">
        <f t="shared" si="24"/>
        <v>17.466666666666665</v>
      </c>
      <c r="D948" s="3">
        <f t="shared" si="25"/>
        <v>78.433333333333337</v>
      </c>
      <c r="E948" t="s">
        <v>15</v>
      </c>
      <c r="F948" t="s">
        <v>77</v>
      </c>
      <c r="G948" t="s">
        <v>106</v>
      </c>
      <c r="I948" t="s">
        <v>12</v>
      </c>
      <c r="J948" t="s">
        <v>12</v>
      </c>
      <c r="K948" t="s">
        <v>12</v>
      </c>
      <c r="L948" t="s">
        <v>490</v>
      </c>
      <c r="M948" t="s">
        <v>952</v>
      </c>
      <c r="O948">
        <v>36</v>
      </c>
      <c r="DT948">
        <v>1</v>
      </c>
    </row>
    <row r="949" spans="1:184" x14ac:dyDescent="0.25">
      <c r="A949" t="s">
        <v>528</v>
      </c>
      <c r="B949" t="s">
        <v>32</v>
      </c>
      <c r="C949" s="3">
        <v>26.75</v>
      </c>
      <c r="D949" s="3">
        <v>94.21</v>
      </c>
      <c r="E949" t="s">
        <v>12</v>
      </c>
      <c r="F949" t="s">
        <v>8</v>
      </c>
      <c r="G949" t="s">
        <v>106</v>
      </c>
      <c r="H949">
        <v>40</v>
      </c>
      <c r="I949" t="s">
        <v>15</v>
      </c>
      <c r="J949" t="s">
        <v>15</v>
      </c>
      <c r="K949" t="s">
        <v>12</v>
      </c>
      <c r="L949" t="s">
        <v>527</v>
      </c>
      <c r="M949" t="s">
        <v>929</v>
      </c>
      <c r="O949">
        <v>143.5</v>
      </c>
      <c r="FE949">
        <v>1</v>
      </c>
      <c r="FF949">
        <v>1</v>
      </c>
      <c r="FO949">
        <v>1</v>
      </c>
      <c r="FP949">
        <v>1</v>
      </c>
      <c r="FQ949">
        <v>1</v>
      </c>
      <c r="FR949">
        <v>1</v>
      </c>
      <c r="GA949">
        <v>1</v>
      </c>
      <c r="GB949">
        <v>1</v>
      </c>
    </row>
    <row r="950" spans="1:184" x14ac:dyDescent="0.25">
      <c r="A950" t="s">
        <v>528</v>
      </c>
      <c r="B950" t="s">
        <v>32</v>
      </c>
      <c r="C950" s="3">
        <v>26.75</v>
      </c>
      <c r="D950" s="3">
        <v>94.21</v>
      </c>
      <c r="E950" t="s">
        <v>12</v>
      </c>
      <c r="F950" t="s">
        <v>8</v>
      </c>
      <c r="G950" t="s">
        <v>106</v>
      </c>
      <c r="H950">
        <v>40</v>
      </c>
      <c r="I950" t="s">
        <v>15</v>
      </c>
      <c r="J950" t="s">
        <v>15</v>
      </c>
      <c r="K950" t="s">
        <v>12</v>
      </c>
      <c r="L950" t="s">
        <v>527</v>
      </c>
      <c r="M950" t="s">
        <v>929</v>
      </c>
      <c r="O950">
        <v>132.1</v>
      </c>
      <c r="FG950">
        <v>1</v>
      </c>
      <c r="FH950">
        <v>1</v>
      </c>
      <c r="FI950">
        <v>1</v>
      </c>
      <c r="FJ950">
        <v>1</v>
      </c>
      <c r="FS950">
        <v>1</v>
      </c>
      <c r="FT950">
        <v>1</v>
      </c>
      <c r="FU950">
        <v>1</v>
      </c>
      <c r="FV950">
        <v>1</v>
      </c>
    </row>
    <row r="951" spans="1:184" x14ac:dyDescent="0.25">
      <c r="A951" t="s">
        <v>528</v>
      </c>
      <c r="B951" t="s">
        <v>32</v>
      </c>
      <c r="C951" s="3">
        <v>26.75</v>
      </c>
      <c r="D951" s="3">
        <v>94.21</v>
      </c>
      <c r="E951" t="s">
        <v>12</v>
      </c>
      <c r="F951" t="s">
        <v>8</v>
      </c>
      <c r="G951" t="s">
        <v>106</v>
      </c>
      <c r="H951">
        <v>40</v>
      </c>
      <c r="I951" t="s">
        <v>15</v>
      </c>
      <c r="J951" t="s">
        <v>15</v>
      </c>
      <c r="K951" t="s">
        <v>12</v>
      </c>
      <c r="L951" t="s">
        <v>527</v>
      </c>
      <c r="M951" t="s">
        <v>929</v>
      </c>
      <c r="O951">
        <v>143</v>
      </c>
      <c r="P951">
        <v>24</v>
      </c>
      <c r="FE951">
        <v>1</v>
      </c>
      <c r="FF951">
        <v>1</v>
      </c>
      <c r="FO951">
        <v>1</v>
      </c>
      <c r="FP951">
        <v>1</v>
      </c>
    </row>
    <row r="952" spans="1:184" x14ac:dyDescent="0.25">
      <c r="A952" t="s">
        <v>528</v>
      </c>
      <c r="B952" t="s">
        <v>32</v>
      </c>
      <c r="C952" s="3">
        <v>26.75</v>
      </c>
      <c r="D952" s="3">
        <v>94.21</v>
      </c>
      <c r="E952" t="s">
        <v>12</v>
      </c>
      <c r="F952" t="s">
        <v>8</v>
      </c>
      <c r="G952" t="s">
        <v>106</v>
      </c>
      <c r="H952">
        <v>40</v>
      </c>
      <c r="I952" t="s">
        <v>15</v>
      </c>
      <c r="J952" t="s">
        <v>15</v>
      </c>
      <c r="K952" t="s">
        <v>12</v>
      </c>
      <c r="L952" t="s">
        <v>527</v>
      </c>
      <c r="M952" t="s">
        <v>929</v>
      </c>
      <c r="O952">
        <v>108</v>
      </c>
      <c r="P952">
        <v>19</v>
      </c>
      <c r="FG952">
        <v>1</v>
      </c>
      <c r="FH952">
        <v>1</v>
      </c>
      <c r="FI952">
        <v>1</v>
      </c>
      <c r="FJ952">
        <v>1</v>
      </c>
    </row>
    <row r="953" spans="1:184" x14ac:dyDescent="0.25">
      <c r="A953" t="s">
        <v>410</v>
      </c>
      <c r="B953" t="s">
        <v>32</v>
      </c>
      <c r="C953" s="3">
        <v>22.021999999999998</v>
      </c>
      <c r="D953" s="3">
        <v>88.614000000000004</v>
      </c>
      <c r="E953" t="s">
        <v>15</v>
      </c>
      <c r="F953" t="s">
        <v>20</v>
      </c>
      <c r="G953" t="s">
        <v>97</v>
      </c>
      <c r="I953" t="s">
        <v>12</v>
      </c>
      <c r="J953" t="s">
        <v>12</v>
      </c>
      <c r="K953" t="s">
        <v>12</v>
      </c>
      <c r="L953" t="s">
        <v>411</v>
      </c>
      <c r="M953" t="s">
        <v>991</v>
      </c>
      <c r="O953">
        <v>68</v>
      </c>
      <c r="DH953">
        <v>1</v>
      </c>
      <c r="DI953">
        <v>1</v>
      </c>
      <c r="DJ953">
        <v>1</v>
      </c>
    </row>
    <row r="954" spans="1:184" x14ac:dyDescent="0.25">
      <c r="A954" t="s">
        <v>410</v>
      </c>
      <c r="B954" t="s">
        <v>32</v>
      </c>
      <c r="C954" s="3">
        <v>22.021999999999998</v>
      </c>
      <c r="D954" s="3">
        <v>88.614000000000004</v>
      </c>
      <c r="E954" t="s">
        <v>15</v>
      </c>
      <c r="F954" t="s">
        <v>20</v>
      </c>
      <c r="G954" t="s">
        <v>97</v>
      </c>
      <c r="I954" t="s">
        <v>12</v>
      </c>
      <c r="J954" t="s">
        <v>12</v>
      </c>
      <c r="K954" t="s">
        <v>12</v>
      </c>
      <c r="L954" t="s">
        <v>411</v>
      </c>
      <c r="M954" t="s">
        <v>991</v>
      </c>
      <c r="O954">
        <v>46</v>
      </c>
      <c r="DK954">
        <v>1</v>
      </c>
      <c r="DL954">
        <v>1</v>
      </c>
      <c r="DM954">
        <v>1</v>
      </c>
    </row>
    <row r="955" spans="1:184" x14ac:dyDescent="0.25">
      <c r="A955" t="s">
        <v>410</v>
      </c>
      <c r="B955" t="s">
        <v>32</v>
      </c>
      <c r="C955" s="3">
        <v>22.021999999999998</v>
      </c>
      <c r="D955" s="3">
        <v>88.614000000000004</v>
      </c>
      <c r="E955" t="s">
        <v>15</v>
      </c>
      <c r="F955" t="s">
        <v>20</v>
      </c>
      <c r="G955" t="s">
        <v>97</v>
      </c>
      <c r="I955" t="s">
        <v>12</v>
      </c>
      <c r="J955" t="s">
        <v>12</v>
      </c>
      <c r="K955" t="s">
        <v>12</v>
      </c>
      <c r="L955" t="s">
        <v>411</v>
      </c>
      <c r="M955" t="s">
        <v>991</v>
      </c>
      <c r="O955">
        <v>41</v>
      </c>
      <c r="DQ955">
        <v>1</v>
      </c>
      <c r="DR955">
        <v>1</v>
      </c>
      <c r="DS955">
        <v>1</v>
      </c>
    </row>
    <row r="956" spans="1:184" x14ac:dyDescent="0.25">
      <c r="A956" t="s">
        <v>410</v>
      </c>
      <c r="B956" t="s">
        <v>32</v>
      </c>
      <c r="C956" s="3">
        <v>22.021999999999998</v>
      </c>
      <c r="D956" s="3">
        <v>88.614000000000004</v>
      </c>
      <c r="E956" t="s">
        <v>15</v>
      </c>
      <c r="F956" t="s">
        <v>20</v>
      </c>
      <c r="G956" t="s">
        <v>97</v>
      </c>
      <c r="I956" t="s">
        <v>12</v>
      </c>
      <c r="J956" t="s">
        <v>12</v>
      </c>
      <c r="K956" t="s">
        <v>12</v>
      </c>
      <c r="L956" t="s">
        <v>411</v>
      </c>
      <c r="M956" t="s">
        <v>991</v>
      </c>
      <c r="O956">
        <v>76</v>
      </c>
      <c r="DT956">
        <v>1</v>
      </c>
      <c r="DU956">
        <v>1</v>
      </c>
      <c r="DV956">
        <v>1</v>
      </c>
    </row>
    <row r="957" spans="1:184" x14ac:dyDescent="0.25">
      <c r="A957" t="s">
        <v>410</v>
      </c>
      <c r="B957" t="s">
        <v>32</v>
      </c>
      <c r="C957" s="3">
        <v>22.021999999999998</v>
      </c>
      <c r="D957" s="3">
        <v>88.614000000000004</v>
      </c>
      <c r="E957" t="s">
        <v>15</v>
      </c>
      <c r="F957" t="s">
        <v>20</v>
      </c>
      <c r="G957" t="s">
        <v>97</v>
      </c>
      <c r="I957" t="s">
        <v>12</v>
      </c>
      <c r="J957" t="s">
        <v>12</v>
      </c>
      <c r="K957" t="s">
        <v>12</v>
      </c>
      <c r="L957" t="s">
        <v>411</v>
      </c>
      <c r="M957" t="s">
        <v>991</v>
      </c>
      <c r="O957">
        <v>46</v>
      </c>
      <c r="DW957">
        <v>1</v>
      </c>
      <c r="DX957">
        <v>1</v>
      </c>
      <c r="DY957">
        <v>1</v>
      </c>
    </row>
    <row r="958" spans="1:184" x14ac:dyDescent="0.25">
      <c r="A958" t="s">
        <v>410</v>
      </c>
      <c r="B958" t="s">
        <v>32</v>
      </c>
      <c r="C958" s="3">
        <v>22.021999999999998</v>
      </c>
      <c r="D958" s="3">
        <v>88.614000000000004</v>
      </c>
      <c r="E958" t="s">
        <v>15</v>
      </c>
      <c r="F958" t="s">
        <v>20</v>
      </c>
      <c r="G958" t="s">
        <v>97</v>
      </c>
      <c r="I958" t="s">
        <v>12</v>
      </c>
      <c r="J958" t="s">
        <v>12</v>
      </c>
      <c r="K958" t="s">
        <v>12</v>
      </c>
      <c r="L958" t="s">
        <v>411</v>
      </c>
      <c r="M958" t="s">
        <v>991</v>
      </c>
      <c r="O958">
        <v>43</v>
      </c>
      <c r="EC958">
        <v>1</v>
      </c>
      <c r="ED958">
        <v>1</v>
      </c>
      <c r="EE958">
        <v>1</v>
      </c>
    </row>
    <row r="959" spans="1:184" x14ac:dyDescent="0.25">
      <c r="A959" t="s">
        <v>410</v>
      </c>
      <c r="B959" t="s">
        <v>32</v>
      </c>
      <c r="C959" s="3">
        <v>22.021999999999998</v>
      </c>
      <c r="D959" s="3">
        <v>88.614000000000004</v>
      </c>
      <c r="E959" t="s">
        <v>15</v>
      </c>
      <c r="F959" t="s">
        <v>20</v>
      </c>
      <c r="G959" t="s">
        <v>97</v>
      </c>
      <c r="I959" t="s">
        <v>12</v>
      </c>
      <c r="J959" t="s">
        <v>12</v>
      </c>
      <c r="K959" t="s">
        <v>12</v>
      </c>
      <c r="L959" t="s">
        <v>411</v>
      </c>
      <c r="M959" t="s">
        <v>991</v>
      </c>
      <c r="O959">
        <v>72</v>
      </c>
      <c r="EF959">
        <v>1</v>
      </c>
      <c r="EG959">
        <v>1</v>
      </c>
      <c r="EH959">
        <v>1</v>
      </c>
    </row>
    <row r="960" spans="1:184" x14ac:dyDescent="0.25">
      <c r="A960" t="s">
        <v>410</v>
      </c>
      <c r="B960" t="s">
        <v>32</v>
      </c>
      <c r="C960" s="3">
        <v>22.021999999999998</v>
      </c>
      <c r="D960" s="3">
        <v>88.614000000000004</v>
      </c>
      <c r="E960" t="s">
        <v>15</v>
      </c>
      <c r="F960" t="s">
        <v>20</v>
      </c>
      <c r="G960" t="s">
        <v>97</v>
      </c>
      <c r="I960" t="s">
        <v>12</v>
      </c>
      <c r="J960" t="s">
        <v>12</v>
      </c>
      <c r="K960" t="s">
        <v>12</v>
      </c>
      <c r="L960" t="s">
        <v>411</v>
      </c>
      <c r="M960" t="s">
        <v>991</v>
      </c>
      <c r="O960">
        <v>46</v>
      </c>
      <c r="EI960">
        <v>1</v>
      </c>
      <c r="EJ960">
        <v>1</v>
      </c>
      <c r="EK960">
        <v>1</v>
      </c>
    </row>
    <row r="961" spans="1:208" x14ac:dyDescent="0.25">
      <c r="A961" t="s">
        <v>410</v>
      </c>
      <c r="B961" t="s">
        <v>32</v>
      </c>
      <c r="C961" s="3">
        <v>22.021999999999998</v>
      </c>
      <c r="D961" s="3">
        <v>88.614000000000004</v>
      </c>
      <c r="E961" t="s">
        <v>15</v>
      </c>
      <c r="F961" t="s">
        <v>20</v>
      </c>
      <c r="G961" t="s">
        <v>97</v>
      </c>
      <c r="I961" t="s">
        <v>12</v>
      </c>
      <c r="J961" t="s">
        <v>12</v>
      </c>
      <c r="K961" t="s">
        <v>12</v>
      </c>
      <c r="L961" t="s">
        <v>411</v>
      </c>
      <c r="M961" t="s">
        <v>991</v>
      </c>
      <c r="O961">
        <v>43</v>
      </c>
      <c r="EO961">
        <v>1</v>
      </c>
      <c r="EP961">
        <v>1</v>
      </c>
      <c r="EQ961">
        <v>1</v>
      </c>
    </row>
    <row r="962" spans="1:208" x14ac:dyDescent="0.25">
      <c r="A962" t="s">
        <v>276</v>
      </c>
      <c r="B962" t="s">
        <v>32</v>
      </c>
      <c r="C962" s="3">
        <v>26.51</v>
      </c>
      <c r="D962" s="3">
        <v>80.23</v>
      </c>
      <c r="E962" t="s">
        <v>12</v>
      </c>
      <c r="F962" t="s">
        <v>77</v>
      </c>
      <c r="G962" t="s">
        <v>106</v>
      </c>
      <c r="I962" t="s">
        <v>15</v>
      </c>
      <c r="J962" t="s">
        <v>15</v>
      </c>
      <c r="K962" t="s">
        <v>15</v>
      </c>
      <c r="L962" t="s">
        <v>352</v>
      </c>
      <c r="M962" t="s">
        <v>1025</v>
      </c>
      <c r="O962">
        <v>189</v>
      </c>
      <c r="P962">
        <v>82</v>
      </c>
      <c r="FZ962">
        <v>1</v>
      </c>
      <c r="GA962">
        <v>1</v>
      </c>
    </row>
    <row r="963" spans="1:208" x14ac:dyDescent="0.25">
      <c r="A963" t="s">
        <v>276</v>
      </c>
      <c r="B963" t="s">
        <v>32</v>
      </c>
      <c r="C963" s="3">
        <v>26.51</v>
      </c>
      <c r="D963" s="3">
        <v>80.23</v>
      </c>
      <c r="E963" t="s">
        <v>12</v>
      </c>
      <c r="F963" t="s">
        <v>77</v>
      </c>
      <c r="G963" t="s">
        <v>106</v>
      </c>
      <c r="I963" t="s">
        <v>15</v>
      </c>
      <c r="J963" t="s">
        <v>15</v>
      </c>
      <c r="K963" t="s">
        <v>15</v>
      </c>
      <c r="L963" t="s">
        <v>352</v>
      </c>
      <c r="M963" t="s">
        <v>1025</v>
      </c>
      <c r="O963">
        <v>127</v>
      </c>
      <c r="P963">
        <v>47</v>
      </c>
      <c r="GB963">
        <v>1</v>
      </c>
      <c r="GC963">
        <v>1</v>
      </c>
      <c r="GD963">
        <v>1</v>
      </c>
    </row>
    <row r="964" spans="1:208" x14ac:dyDescent="0.25">
      <c r="A964" t="s">
        <v>276</v>
      </c>
      <c r="B964" t="s">
        <v>32</v>
      </c>
      <c r="C964" s="3">
        <v>26.51</v>
      </c>
      <c r="D964" s="3">
        <v>80.23</v>
      </c>
      <c r="E964" t="s">
        <v>12</v>
      </c>
      <c r="F964" t="s">
        <v>77</v>
      </c>
      <c r="G964" t="s">
        <v>106</v>
      </c>
      <c r="I964" t="s">
        <v>15</v>
      </c>
      <c r="J964" t="s">
        <v>15</v>
      </c>
      <c r="K964" t="s">
        <v>15</v>
      </c>
      <c r="L964" t="s">
        <v>352</v>
      </c>
      <c r="M964" t="s">
        <v>1025</v>
      </c>
      <c r="O964">
        <v>138</v>
      </c>
      <c r="P964">
        <v>86</v>
      </c>
      <c r="GE964">
        <v>1</v>
      </c>
      <c r="GF964">
        <v>1</v>
      </c>
    </row>
    <row r="965" spans="1:208" x14ac:dyDescent="0.25">
      <c r="A965" t="s">
        <v>276</v>
      </c>
      <c r="B965" t="s">
        <v>32</v>
      </c>
      <c r="C965" s="3">
        <f>26+26/60</f>
        <v>26.433333333333334</v>
      </c>
      <c r="D965" s="3">
        <f>88+22/60</f>
        <v>88.36666666666666</v>
      </c>
      <c r="E965" t="s">
        <v>12</v>
      </c>
      <c r="F965" t="s">
        <v>8</v>
      </c>
      <c r="G965" t="s">
        <v>277</v>
      </c>
      <c r="I965" t="s">
        <v>12</v>
      </c>
      <c r="J965" t="s">
        <v>12</v>
      </c>
      <c r="K965" t="s">
        <v>15</v>
      </c>
      <c r="L965" t="s">
        <v>281</v>
      </c>
      <c r="M965" t="s">
        <v>1053</v>
      </c>
      <c r="N965" t="s">
        <v>262</v>
      </c>
      <c r="O965">
        <f>AVERAGE(61,146,95)</f>
        <v>100.66666666666667</v>
      </c>
      <c r="DF965">
        <v>1</v>
      </c>
      <c r="DG965">
        <v>1</v>
      </c>
      <c r="DH965">
        <v>1</v>
      </c>
      <c r="DI965">
        <v>1</v>
      </c>
      <c r="DJ965">
        <v>1</v>
      </c>
    </row>
    <row r="966" spans="1:208" x14ac:dyDescent="0.25">
      <c r="A966" t="s">
        <v>502</v>
      </c>
      <c r="B966" t="s">
        <v>32</v>
      </c>
      <c r="C966" s="3">
        <v>22.55</v>
      </c>
      <c r="D966" s="3">
        <v>88.333333333333329</v>
      </c>
      <c r="E966" t="s">
        <v>15</v>
      </c>
      <c r="F966" t="s">
        <v>77</v>
      </c>
      <c r="G966" t="s">
        <v>725</v>
      </c>
      <c r="H966">
        <v>35</v>
      </c>
      <c r="I966" t="s">
        <v>15</v>
      </c>
      <c r="J966" t="s">
        <v>15</v>
      </c>
      <c r="K966" t="s">
        <v>12</v>
      </c>
      <c r="L966" t="s">
        <v>765</v>
      </c>
      <c r="M966" t="s">
        <v>824</v>
      </c>
      <c r="O966">
        <v>71.2</v>
      </c>
      <c r="P966">
        <v>25.2</v>
      </c>
      <c r="ES966">
        <v>1</v>
      </c>
      <c r="ET966">
        <v>1</v>
      </c>
      <c r="EU966">
        <v>1</v>
      </c>
      <c r="EV966">
        <v>1</v>
      </c>
      <c r="EW966">
        <v>1</v>
      </c>
      <c r="EX966">
        <v>1</v>
      </c>
      <c r="EY966">
        <v>1</v>
      </c>
      <c r="EZ966">
        <v>1</v>
      </c>
      <c r="FA966">
        <v>1</v>
      </c>
      <c r="FB966">
        <v>1</v>
      </c>
      <c r="FC966">
        <v>1</v>
      </c>
      <c r="FD966">
        <v>1</v>
      </c>
    </row>
    <row r="967" spans="1:208" x14ac:dyDescent="0.25">
      <c r="A967" t="s">
        <v>502</v>
      </c>
      <c r="B967" t="s">
        <v>32</v>
      </c>
      <c r="C967" s="3">
        <v>22.566666666666666</v>
      </c>
      <c r="D967" s="3">
        <v>88.21</v>
      </c>
      <c r="E967" t="s">
        <v>12</v>
      </c>
      <c r="F967" t="s">
        <v>77</v>
      </c>
      <c r="G967" t="s">
        <v>740</v>
      </c>
      <c r="I967" t="s">
        <v>15</v>
      </c>
      <c r="J967" t="s">
        <v>15</v>
      </c>
      <c r="K967" t="s">
        <v>15</v>
      </c>
      <c r="L967" t="s">
        <v>777</v>
      </c>
      <c r="M967" t="s">
        <v>836</v>
      </c>
      <c r="O967">
        <v>107.6</v>
      </c>
      <c r="P967">
        <v>2.1094786085665813</v>
      </c>
      <c r="CM967">
        <v>1</v>
      </c>
      <c r="CN967">
        <v>1</v>
      </c>
      <c r="CO967">
        <v>1</v>
      </c>
      <c r="CP967">
        <v>1</v>
      </c>
      <c r="CQ967">
        <v>1</v>
      </c>
      <c r="CR967">
        <v>1</v>
      </c>
      <c r="CS967">
        <v>1</v>
      </c>
      <c r="CT967">
        <v>1</v>
      </c>
      <c r="CU967">
        <v>1</v>
      </c>
      <c r="CV967">
        <v>1</v>
      </c>
      <c r="CW967">
        <v>1</v>
      </c>
    </row>
    <row r="968" spans="1:208" x14ac:dyDescent="0.25">
      <c r="A968" t="s">
        <v>502</v>
      </c>
      <c r="B968" t="s">
        <v>32</v>
      </c>
      <c r="C968" s="3">
        <v>22.56</v>
      </c>
      <c r="D968" s="3">
        <v>88.36</v>
      </c>
      <c r="E968" t="s">
        <v>12</v>
      </c>
      <c r="F968" t="s">
        <v>8</v>
      </c>
      <c r="G968" t="s">
        <v>106</v>
      </c>
      <c r="I968" t="s">
        <v>12</v>
      </c>
      <c r="J968" t="s">
        <v>12</v>
      </c>
      <c r="K968" t="s">
        <v>12</v>
      </c>
      <c r="L968" t="s">
        <v>678</v>
      </c>
      <c r="M968" t="s">
        <v>850</v>
      </c>
      <c r="O968">
        <v>178.57</v>
      </c>
      <c r="P968">
        <v>31.53</v>
      </c>
      <c r="DG968">
        <v>1</v>
      </c>
      <c r="DH968">
        <v>1</v>
      </c>
    </row>
    <row r="969" spans="1:208" x14ac:dyDescent="0.25">
      <c r="A969" t="s">
        <v>502</v>
      </c>
      <c r="B969" t="s">
        <v>32</v>
      </c>
      <c r="C969" s="3">
        <f>22+34/60</f>
        <v>22.566666666666666</v>
      </c>
      <c r="D969" s="3">
        <f>88+24/60</f>
        <v>88.4</v>
      </c>
      <c r="E969" t="s">
        <v>12</v>
      </c>
      <c r="F969" t="s">
        <v>77</v>
      </c>
      <c r="G969" t="s">
        <v>106</v>
      </c>
      <c r="I969" t="s">
        <v>12</v>
      </c>
      <c r="J969" t="s">
        <v>12</v>
      </c>
      <c r="K969" t="s">
        <v>12</v>
      </c>
      <c r="L969" t="s">
        <v>595</v>
      </c>
      <c r="M969" t="s">
        <v>883</v>
      </c>
      <c r="O969">
        <v>181.19</v>
      </c>
      <c r="P969">
        <v>90.86</v>
      </c>
      <c r="DT969">
        <v>1</v>
      </c>
      <c r="DU969">
        <v>1</v>
      </c>
      <c r="DV969">
        <v>1</v>
      </c>
    </row>
    <row r="970" spans="1:208" x14ac:dyDescent="0.25">
      <c r="A970" t="s">
        <v>502</v>
      </c>
      <c r="B970" t="s">
        <v>32</v>
      </c>
      <c r="C970" s="3">
        <v>22.51</v>
      </c>
      <c r="D970" s="3">
        <v>88.4</v>
      </c>
      <c r="E970" t="s">
        <v>34</v>
      </c>
      <c r="F970" t="s">
        <v>77</v>
      </c>
      <c r="G970" t="s">
        <v>106</v>
      </c>
      <c r="I970" t="s">
        <v>15</v>
      </c>
      <c r="J970" t="s">
        <v>15</v>
      </c>
      <c r="K970" t="s">
        <v>12</v>
      </c>
      <c r="L970" t="s">
        <v>503</v>
      </c>
      <c r="M970" t="s">
        <v>1106</v>
      </c>
      <c r="O970">
        <v>55</v>
      </c>
      <c r="CM970">
        <v>1</v>
      </c>
      <c r="CN970">
        <v>1</v>
      </c>
    </row>
    <row r="971" spans="1:208" x14ac:dyDescent="0.25">
      <c r="A971" t="s">
        <v>502</v>
      </c>
      <c r="B971" t="s">
        <v>32</v>
      </c>
      <c r="C971" s="3">
        <v>22.51</v>
      </c>
      <c r="D971" s="3">
        <v>88.4</v>
      </c>
      <c r="E971" t="s">
        <v>34</v>
      </c>
      <c r="F971" t="s">
        <v>77</v>
      </c>
      <c r="G971" t="s">
        <v>106</v>
      </c>
      <c r="I971" t="s">
        <v>15</v>
      </c>
      <c r="J971" t="s">
        <v>15</v>
      </c>
      <c r="K971" t="s">
        <v>12</v>
      </c>
      <c r="L971" t="s">
        <v>503</v>
      </c>
      <c r="M971" t="s">
        <v>1106</v>
      </c>
      <c r="O971">
        <v>26</v>
      </c>
      <c r="CP971">
        <v>1</v>
      </c>
      <c r="CQ971">
        <v>1</v>
      </c>
    </row>
    <row r="972" spans="1:208" x14ac:dyDescent="0.25">
      <c r="A972" t="s">
        <v>502</v>
      </c>
      <c r="B972" t="s">
        <v>32</v>
      </c>
      <c r="C972" s="3">
        <v>22.51</v>
      </c>
      <c r="D972" s="3">
        <v>88.4</v>
      </c>
      <c r="E972" t="s">
        <v>34</v>
      </c>
      <c r="F972" t="s">
        <v>77</v>
      </c>
      <c r="G972" t="s">
        <v>106</v>
      </c>
      <c r="I972" t="s">
        <v>15</v>
      </c>
      <c r="J972" t="s">
        <v>15</v>
      </c>
      <c r="K972" t="s">
        <v>12</v>
      </c>
      <c r="L972" t="s">
        <v>503</v>
      </c>
      <c r="M972" t="s">
        <v>1106</v>
      </c>
      <c r="O972">
        <v>45</v>
      </c>
      <c r="CT972">
        <v>1</v>
      </c>
      <c r="CU972">
        <v>1</v>
      </c>
    </row>
    <row r="973" spans="1:208" x14ac:dyDescent="0.25">
      <c r="A973" t="s">
        <v>502</v>
      </c>
      <c r="B973" t="s">
        <v>32</v>
      </c>
      <c r="C973" s="3">
        <v>22.51</v>
      </c>
      <c r="D973" s="3">
        <v>88.4</v>
      </c>
      <c r="E973" t="s">
        <v>34</v>
      </c>
      <c r="F973" t="s">
        <v>77</v>
      </c>
      <c r="G973" t="s">
        <v>106</v>
      </c>
      <c r="I973" t="s">
        <v>15</v>
      </c>
      <c r="J973" t="s">
        <v>15</v>
      </c>
      <c r="K973" t="s">
        <v>12</v>
      </c>
      <c r="L973" t="s">
        <v>503</v>
      </c>
      <c r="M973" t="s">
        <v>1106</v>
      </c>
      <c r="O973">
        <v>305</v>
      </c>
      <c r="CV973">
        <v>1</v>
      </c>
      <c r="CW973">
        <v>1</v>
      </c>
    </row>
    <row r="974" spans="1:208" x14ac:dyDescent="0.25">
      <c r="A974" t="s">
        <v>300</v>
      </c>
      <c r="B974" t="s">
        <v>32</v>
      </c>
      <c r="C974" s="3">
        <v>-6.19</v>
      </c>
      <c r="D974" s="3">
        <v>107.23</v>
      </c>
      <c r="E974" t="s">
        <v>15</v>
      </c>
      <c r="F974" t="s">
        <v>21</v>
      </c>
      <c r="G974" t="s">
        <v>106</v>
      </c>
      <c r="I974" t="s">
        <v>12</v>
      </c>
      <c r="J974" t="s">
        <v>12</v>
      </c>
      <c r="K974" t="s">
        <v>12</v>
      </c>
      <c r="L974" t="s">
        <v>560</v>
      </c>
      <c r="M974" t="s">
        <v>906</v>
      </c>
      <c r="O974">
        <v>12.97</v>
      </c>
      <c r="P974">
        <v>12.45</v>
      </c>
      <c r="CW974">
        <v>1</v>
      </c>
      <c r="CX974">
        <v>1</v>
      </c>
      <c r="CY974">
        <v>1</v>
      </c>
      <c r="CZ974">
        <v>1</v>
      </c>
      <c r="DA974">
        <v>1</v>
      </c>
      <c r="DB974">
        <v>1</v>
      </c>
      <c r="DC974">
        <v>1</v>
      </c>
      <c r="DD974">
        <v>1</v>
      </c>
      <c r="DE974">
        <v>1</v>
      </c>
      <c r="DF974">
        <v>1</v>
      </c>
      <c r="DG974">
        <v>1</v>
      </c>
      <c r="DH974">
        <v>1</v>
      </c>
      <c r="DI974">
        <v>1</v>
      </c>
      <c r="DJ974">
        <v>1</v>
      </c>
      <c r="DK974">
        <v>1</v>
      </c>
      <c r="DL974">
        <v>1</v>
      </c>
      <c r="DM974">
        <v>1</v>
      </c>
      <c r="DN974">
        <v>1</v>
      </c>
      <c r="DO974">
        <v>1</v>
      </c>
      <c r="DP974">
        <v>1</v>
      </c>
      <c r="DQ974">
        <v>1</v>
      </c>
      <c r="DR974">
        <v>1</v>
      </c>
      <c r="DS974">
        <v>1</v>
      </c>
      <c r="DT974">
        <v>1</v>
      </c>
      <c r="DU974">
        <v>1</v>
      </c>
      <c r="DV974">
        <v>1</v>
      </c>
      <c r="DW974">
        <v>1</v>
      </c>
      <c r="DX974">
        <v>1</v>
      </c>
      <c r="DY974">
        <v>1</v>
      </c>
      <c r="DZ974">
        <v>1</v>
      </c>
      <c r="EA974">
        <v>1</v>
      </c>
      <c r="EB974">
        <v>1</v>
      </c>
      <c r="EC974">
        <v>1</v>
      </c>
      <c r="ED974">
        <v>1</v>
      </c>
      <c r="EE974">
        <v>1</v>
      </c>
      <c r="EF974">
        <v>1</v>
      </c>
      <c r="EG974">
        <v>1</v>
      </c>
      <c r="EH974">
        <v>1</v>
      </c>
      <c r="EI974">
        <v>1</v>
      </c>
      <c r="EJ974">
        <v>1</v>
      </c>
      <c r="EK974">
        <v>1</v>
      </c>
      <c r="EL974">
        <v>1</v>
      </c>
      <c r="EM974">
        <v>1</v>
      </c>
      <c r="EN974">
        <v>1</v>
      </c>
      <c r="EO974">
        <v>1</v>
      </c>
      <c r="EP974">
        <v>1</v>
      </c>
      <c r="EQ974">
        <v>1</v>
      </c>
      <c r="ER974">
        <v>1</v>
      </c>
    </row>
    <row r="975" spans="1:208" x14ac:dyDescent="0.25">
      <c r="A975" t="s">
        <v>278</v>
      </c>
      <c r="B975" t="s">
        <v>32</v>
      </c>
      <c r="C975" s="3">
        <v>31.9</v>
      </c>
      <c r="D975" s="3">
        <v>77.12</v>
      </c>
      <c r="E975" t="s">
        <v>15</v>
      </c>
      <c r="F975" t="s">
        <v>20</v>
      </c>
      <c r="G975" t="s">
        <v>76</v>
      </c>
      <c r="I975" t="s">
        <v>15</v>
      </c>
      <c r="J975" t="s">
        <v>12</v>
      </c>
      <c r="K975" t="s">
        <v>12</v>
      </c>
      <c r="L975" t="s">
        <v>280</v>
      </c>
      <c r="M975" t="s">
        <v>1052</v>
      </c>
      <c r="N975" t="s">
        <v>279</v>
      </c>
      <c r="O975">
        <f>AVERAGE(6.5/0.15,4.5/0.15,4/0.15,4/0.14,3.5/0.24,3.5/0.29,3/0.26,4/0.34,4/0.42,3.5/0.21,4/0.15,4.5/0.15,6/0.14)</f>
        <v>23.403167735161805</v>
      </c>
      <c r="GO975">
        <v>1</v>
      </c>
      <c r="GP975">
        <v>1</v>
      </c>
      <c r="GQ975">
        <v>1</v>
      </c>
      <c r="GR975">
        <v>1</v>
      </c>
      <c r="GS975">
        <v>1</v>
      </c>
      <c r="GT975">
        <v>1</v>
      </c>
      <c r="GU975">
        <v>1</v>
      </c>
      <c r="GV975">
        <v>1</v>
      </c>
      <c r="GW975">
        <v>1</v>
      </c>
      <c r="GX975">
        <v>1</v>
      </c>
      <c r="GY975">
        <v>1</v>
      </c>
      <c r="GZ975">
        <v>1</v>
      </c>
    </row>
    <row r="976" spans="1:208" x14ac:dyDescent="0.25">
      <c r="A976" t="s">
        <v>374</v>
      </c>
      <c r="B976" t="s">
        <v>32</v>
      </c>
      <c r="C976" s="3">
        <f t="shared" ref="C976:C981" si="26">29+26/60</f>
        <v>29.433333333333334</v>
      </c>
      <c r="D976" s="3">
        <f t="shared" ref="D976:D981" si="27">79+37/60</f>
        <v>79.61666666666666</v>
      </c>
      <c r="E976" t="s">
        <v>15</v>
      </c>
      <c r="F976" t="s">
        <v>20</v>
      </c>
      <c r="G976" t="s">
        <v>214</v>
      </c>
      <c r="I976" t="s">
        <v>12</v>
      </c>
      <c r="J976" t="s">
        <v>12</v>
      </c>
      <c r="K976" t="s">
        <v>12</v>
      </c>
      <c r="L976" t="s">
        <v>557</v>
      </c>
      <c r="M976" t="s">
        <v>914</v>
      </c>
      <c r="O976">
        <v>52.8</v>
      </c>
      <c r="EU976">
        <v>1</v>
      </c>
      <c r="EV976">
        <v>1</v>
      </c>
      <c r="EW976">
        <v>1</v>
      </c>
    </row>
    <row r="977" spans="1:193" x14ac:dyDescent="0.25">
      <c r="A977" t="s">
        <v>374</v>
      </c>
      <c r="B977" t="s">
        <v>32</v>
      </c>
      <c r="C977" s="3">
        <f t="shared" si="26"/>
        <v>29.433333333333334</v>
      </c>
      <c r="D977" s="3">
        <f t="shared" si="27"/>
        <v>79.61666666666666</v>
      </c>
      <c r="E977" t="s">
        <v>15</v>
      </c>
      <c r="F977" t="s">
        <v>20</v>
      </c>
      <c r="G977" t="s">
        <v>214</v>
      </c>
      <c r="I977" t="s">
        <v>12</v>
      </c>
      <c r="J977" t="s">
        <v>12</v>
      </c>
      <c r="K977" t="s">
        <v>12</v>
      </c>
      <c r="L977" t="s">
        <v>557</v>
      </c>
      <c r="M977" t="s">
        <v>914</v>
      </c>
      <c r="O977">
        <v>21.2</v>
      </c>
      <c r="EX977">
        <v>1</v>
      </c>
      <c r="EY977">
        <v>1</v>
      </c>
      <c r="EZ977">
        <v>1</v>
      </c>
      <c r="FA977">
        <v>1</v>
      </c>
    </row>
    <row r="978" spans="1:193" x14ac:dyDescent="0.25">
      <c r="A978" t="s">
        <v>374</v>
      </c>
      <c r="B978" t="s">
        <v>32</v>
      </c>
      <c r="C978" s="3">
        <f t="shared" si="26"/>
        <v>29.433333333333334</v>
      </c>
      <c r="D978" s="3">
        <f t="shared" si="27"/>
        <v>79.61666666666666</v>
      </c>
      <c r="E978" t="s">
        <v>15</v>
      </c>
      <c r="F978" t="s">
        <v>20</v>
      </c>
      <c r="G978" t="s">
        <v>214</v>
      </c>
      <c r="I978" t="s">
        <v>12</v>
      </c>
      <c r="J978" t="s">
        <v>12</v>
      </c>
      <c r="K978" t="s">
        <v>12</v>
      </c>
      <c r="L978" t="s">
        <v>557</v>
      </c>
      <c r="M978" t="s">
        <v>914</v>
      </c>
      <c r="O978">
        <v>65.7</v>
      </c>
      <c r="FS978">
        <v>1</v>
      </c>
      <c r="FT978">
        <v>1</v>
      </c>
      <c r="FU978">
        <v>1</v>
      </c>
    </row>
    <row r="979" spans="1:193" x14ac:dyDescent="0.25">
      <c r="A979" t="s">
        <v>374</v>
      </c>
      <c r="B979" t="s">
        <v>32</v>
      </c>
      <c r="C979" s="3">
        <f t="shared" si="26"/>
        <v>29.433333333333334</v>
      </c>
      <c r="D979" s="3">
        <f t="shared" si="27"/>
        <v>79.61666666666666</v>
      </c>
      <c r="E979" t="s">
        <v>15</v>
      </c>
      <c r="F979" t="s">
        <v>20</v>
      </c>
      <c r="G979" t="s">
        <v>214</v>
      </c>
      <c r="I979" t="s">
        <v>12</v>
      </c>
      <c r="J979" t="s">
        <v>12</v>
      </c>
      <c r="K979" t="s">
        <v>12</v>
      </c>
      <c r="L979" t="s">
        <v>557</v>
      </c>
      <c r="M979" t="s">
        <v>914</v>
      </c>
      <c r="O979">
        <v>21.4</v>
      </c>
      <c r="FV979">
        <v>1</v>
      </c>
      <c r="FW979">
        <v>1</v>
      </c>
      <c r="FX979">
        <v>1</v>
      </c>
      <c r="FY979">
        <v>1</v>
      </c>
    </row>
    <row r="980" spans="1:193" x14ac:dyDescent="0.25">
      <c r="A980" t="s">
        <v>374</v>
      </c>
      <c r="B980" t="s">
        <v>32</v>
      </c>
      <c r="C980" s="3">
        <f t="shared" si="26"/>
        <v>29.433333333333334</v>
      </c>
      <c r="D980" s="3">
        <f t="shared" si="27"/>
        <v>79.61666666666666</v>
      </c>
      <c r="E980" t="s">
        <v>15</v>
      </c>
      <c r="F980" t="s">
        <v>20</v>
      </c>
      <c r="G980" t="s">
        <v>214</v>
      </c>
      <c r="I980" t="s">
        <v>12</v>
      </c>
      <c r="J980" t="s">
        <v>12</v>
      </c>
      <c r="K980" t="s">
        <v>12</v>
      </c>
      <c r="L980" t="s">
        <v>557</v>
      </c>
      <c r="M980" t="s">
        <v>914</v>
      </c>
      <c r="O980">
        <v>73.599999999999994</v>
      </c>
      <c r="GE980">
        <v>1</v>
      </c>
      <c r="GF980">
        <v>1</v>
      </c>
      <c r="GG980">
        <v>1</v>
      </c>
    </row>
    <row r="981" spans="1:193" x14ac:dyDescent="0.25">
      <c r="A981" t="s">
        <v>374</v>
      </c>
      <c r="B981" t="s">
        <v>32</v>
      </c>
      <c r="C981" s="3">
        <f t="shared" si="26"/>
        <v>29.433333333333334</v>
      </c>
      <c r="D981" s="3">
        <f t="shared" si="27"/>
        <v>79.61666666666666</v>
      </c>
      <c r="E981" t="s">
        <v>15</v>
      </c>
      <c r="F981" t="s">
        <v>20</v>
      </c>
      <c r="G981" t="s">
        <v>214</v>
      </c>
      <c r="I981" t="s">
        <v>12</v>
      </c>
      <c r="J981" t="s">
        <v>12</v>
      </c>
      <c r="K981" t="s">
        <v>12</v>
      </c>
      <c r="L981" t="s">
        <v>557</v>
      </c>
      <c r="M981" t="s">
        <v>914</v>
      </c>
      <c r="O981">
        <v>31.8</v>
      </c>
      <c r="GH981">
        <v>1</v>
      </c>
      <c r="GI981">
        <v>1</v>
      </c>
      <c r="GJ981">
        <v>1</v>
      </c>
      <c r="GK981">
        <v>1</v>
      </c>
    </row>
    <row r="982" spans="1:193" x14ac:dyDescent="0.25">
      <c r="A982" t="s">
        <v>374</v>
      </c>
      <c r="B982" t="s">
        <v>32</v>
      </c>
      <c r="C982" s="3">
        <f t="shared" ref="C982:C1013" si="28">29+47/60</f>
        <v>29.783333333333335</v>
      </c>
      <c r="D982" s="3">
        <f t="shared" ref="D982:D1013" si="29">79+65/60</f>
        <v>80.083333333333329</v>
      </c>
      <c r="E982" t="s">
        <v>15</v>
      </c>
      <c r="F982" t="s">
        <v>20</v>
      </c>
      <c r="G982" t="s">
        <v>214</v>
      </c>
      <c r="I982" t="s">
        <v>15</v>
      </c>
      <c r="J982" t="s">
        <v>12</v>
      </c>
      <c r="K982" t="s">
        <v>12</v>
      </c>
      <c r="L982" t="s">
        <v>375</v>
      </c>
      <c r="M982" t="s">
        <v>1010</v>
      </c>
      <c r="O982">
        <v>21</v>
      </c>
      <c r="ER982">
        <v>1</v>
      </c>
    </row>
    <row r="983" spans="1:193" x14ac:dyDescent="0.25">
      <c r="A983" t="s">
        <v>374</v>
      </c>
      <c r="B983" t="s">
        <v>32</v>
      </c>
      <c r="C983" s="3">
        <f t="shared" si="28"/>
        <v>29.783333333333335</v>
      </c>
      <c r="D983" s="3">
        <f t="shared" si="29"/>
        <v>80.083333333333329</v>
      </c>
      <c r="E983" t="s">
        <v>15</v>
      </c>
      <c r="F983" t="s">
        <v>20</v>
      </c>
      <c r="G983" t="s">
        <v>214</v>
      </c>
      <c r="I983" t="s">
        <v>15</v>
      </c>
      <c r="J983" t="s">
        <v>12</v>
      </c>
      <c r="K983" t="s">
        <v>12</v>
      </c>
      <c r="L983" t="s">
        <v>375</v>
      </c>
      <c r="M983" t="s">
        <v>1010</v>
      </c>
      <c r="O983">
        <v>18</v>
      </c>
      <c r="ES983">
        <v>1</v>
      </c>
    </row>
    <row r="984" spans="1:193" x14ac:dyDescent="0.25">
      <c r="A984" t="s">
        <v>374</v>
      </c>
      <c r="B984" t="s">
        <v>32</v>
      </c>
      <c r="C984" s="3">
        <f t="shared" si="28"/>
        <v>29.783333333333335</v>
      </c>
      <c r="D984" s="3">
        <f t="shared" si="29"/>
        <v>80.083333333333329</v>
      </c>
      <c r="E984" t="s">
        <v>15</v>
      </c>
      <c r="F984" t="s">
        <v>20</v>
      </c>
      <c r="G984" t="s">
        <v>214</v>
      </c>
      <c r="I984" t="s">
        <v>15</v>
      </c>
      <c r="J984" t="s">
        <v>12</v>
      </c>
      <c r="K984" t="s">
        <v>12</v>
      </c>
      <c r="L984" t="s">
        <v>375</v>
      </c>
      <c r="M984" t="s">
        <v>1010</v>
      </c>
      <c r="O984">
        <v>35</v>
      </c>
      <c r="EU984">
        <v>1</v>
      </c>
    </row>
    <row r="985" spans="1:193" x14ac:dyDescent="0.25">
      <c r="A985" t="s">
        <v>374</v>
      </c>
      <c r="B985" t="s">
        <v>32</v>
      </c>
      <c r="C985" s="3">
        <f t="shared" si="28"/>
        <v>29.783333333333335</v>
      </c>
      <c r="D985" s="3">
        <f t="shared" si="29"/>
        <v>80.083333333333329</v>
      </c>
      <c r="E985" t="s">
        <v>15</v>
      </c>
      <c r="F985" t="s">
        <v>20</v>
      </c>
      <c r="G985" t="s">
        <v>214</v>
      </c>
      <c r="I985" t="s">
        <v>15</v>
      </c>
      <c r="J985" t="s">
        <v>12</v>
      </c>
      <c r="K985" t="s">
        <v>12</v>
      </c>
      <c r="L985" t="s">
        <v>375</v>
      </c>
      <c r="M985" t="s">
        <v>1010</v>
      </c>
      <c r="O985">
        <v>34</v>
      </c>
      <c r="EV985">
        <v>1</v>
      </c>
    </row>
    <row r="986" spans="1:193" x14ac:dyDescent="0.25">
      <c r="A986" t="s">
        <v>374</v>
      </c>
      <c r="B986" t="s">
        <v>32</v>
      </c>
      <c r="C986" s="3">
        <f t="shared" si="28"/>
        <v>29.783333333333335</v>
      </c>
      <c r="D986" s="3">
        <f t="shared" si="29"/>
        <v>80.083333333333329</v>
      </c>
      <c r="E986" t="s">
        <v>15</v>
      </c>
      <c r="F986" t="s">
        <v>20</v>
      </c>
      <c r="G986" t="s">
        <v>214</v>
      </c>
      <c r="I986" t="s">
        <v>15</v>
      </c>
      <c r="J986" t="s">
        <v>12</v>
      </c>
      <c r="K986" t="s">
        <v>12</v>
      </c>
      <c r="L986" t="s">
        <v>375</v>
      </c>
      <c r="M986" t="s">
        <v>1010</v>
      </c>
      <c r="O986">
        <v>42</v>
      </c>
      <c r="EW986">
        <v>1</v>
      </c>
    </row>
    <row r="987" spans="1:193" x14ac:dyDescent="0.25">
      <c r="A987" t="s">
        <v>374</v>
      </c>
      <c r="B987" t="s">
        <v>32</v>
      </c>
      <c r="C987" s="3">
        <f t="shared" si="28"/>
        <v>29.783333333333335</v>
      </c>
      <c r="D987" s="3">
        <f t="shared" si="29"/>
        <v>80.083333333333329</v>
      </c>
      <c r="E987" t="s">
        <v>15</v>
      </c>
      <c r="F987" t="s">
        <v>20</v>
      </c>
      <c r="G987" t="s">
        <v>214</v>
      </c>
      <c r="I987" t="s">
        <v>15</v>
      </c>
      <c r="J987" t="s">
        <v>12</v>
      </c>
      <c r="K987" t="s">
        <v>12</v>
      </c>
      <c r="L987" t="s">
        <v>375</v>
      </c>
      <c r="M987" t="s">
        <v>1010</v>
      </c>
      <c r="O987">
        <v>37</v>
      </c>
      <c r="EX987">
        <v>1</v>
      </c>
    </row>
    <row r="988" spans="1:193" x14ac:dyDescent="0.25">
      <c r="A988" t="s">
        <v>374</v>
      </c>
      <c r="B988" t="s">
        <v>32</v>
      </c>
      <c r="C988" s="3">
        <f t="shared" si="28"/>
        <v>29.783333333333335</v>
      </c>
      <c r="D988" s="3">
        <f t="shared" si="29"/>
        <v>80.083333333333329</v>
      </c>
      <c r="E988" t="s">
        <v>15</v>
      </c>
      <c r="F988" t="s">
        <v>20</v>
      </c>
      <c r="G988" t="s">
        <v>214</v>
      </c>
      <c r="I988" t="s">
        <v>15</v>
      </c>
      <c r="J988" t="s">
        <v>12</v>
      </c>
      <c r="K988" t="s">
        <v>12</v>
      </c>
      <c r="L988" t="s">
        <v>375</v>
      </c>
      <c r="M988" t="s">
        <v>1010</v>
      </c>
      <c r="O988">
        <v>12</v>
      </c>
      <c r="EY988">
        <v>1</v>
      </c>
    </row>
    <row r="989" spans="1:193" x14ac:dyDescent="0.25">
      <c r="A989" t="s">
        <v>374</v>
      </c>
      <c r="B989" t="s">
        <v>32</v>
      </c>
      <c r="C989" s="3">
        <f t="shared" si="28"/>
        <v>29.783333333333335</v>
      </c>
      <c r="D989" s="3">
        <f t="shared" si="29"/>
        <v>80.083333333333329</v>
      </c>
      <c r="E989" t="s">
        <v>15</v>
      </c>
      <c r="F989" t="s">
        <v>20</v>
      </c>
      <c r="G989" t="s">
        <v>214</v>
      </c>
      <c r="I989" t="s">
        <v>15</v>
      </c>
      <c r="J989" t="s">
        <v>12</v>
      </c>
      <c r="K989" t="s">
        <v>12</v>
      </c>
      <c r="L989" t="s">
        <v>375</v>
      </c>
      <c r="M989" t="s">
        <v>1010</v>
      </c>
      <c r="O989">
        <v>11</v>
      </c>
      <c r="EZ989">
        <v>1</v>
      </c>
    </row>
    <row r="990" spans="1:193" x14ac:dyDescent="0.25">
      <c r="A990" t="s">
        <v>374</v>
      </c>
      <c r="B990" t="s">
        <v>32</v>
      </c>
      <c r="C990" s="3">
        <f t="shared" si="28"/>
        <v>29.783333333333335</v>
      </c>
      <c r="D990" s="3">
        <f t="shared" si="29"/>
        <v>80.083333333333329</v>
      </c>
      <c r="E990" t="s">
        <v>15</v>
      </c>
      <c r="F990" t="s">
        <v>20</v>
      </c>
      <c r="G990" t="s">
        <v>214</v>
      </c>
      <c r="I990" t="s">
        <v>15</v>
      </c>
      <c r="J990" t="s">
        <v>12</v>
      </c>
      <c r="K990" t="s">
        <v>12</v>
      </c>
      <c r="L990" t="s">
        <v>375</v>
      </c>
      <c r="M990" t="s">
        <v>1010</v>
      </c>
      <c r="O990">
        <v>23</v>
      </c>
      <c r="FA990">
        <v>1</v>
      </c>
    </row>
    <row r="991" spans="1:193" x14ac:dyDescent="0.25">
      <c r="A991" t="s">
        <v>374</v>
      </c>
      <c r="B991" t="s">
        <v>32</v>
      </c>
      <c r="C991" s="3">
        <f t="shared" si="28"/>
        <v>29.783333333333335</v>
      </c>
      <c r="D991" s="3">
        <f t="shared" si="29"/>
        <v>80.083333333333329</v>
      </c>
      <c r="E991" t="s">
        <v>15</v>
      </c>
      <c r="F991" t="s">
        <v>20</v>
      </c>
      <c r="G991" t="s">
        <v>214</v>
      </c>
      <c r="I991" t="s">
        <v>15</v>
      </c>
      <c r="J991" t="s">
        <v>12</v>
      </c>
      <c r="K991" t="s">
        <v>12</v>
      </c>
      <c r="L991" t="s">
        <v>375</v>
      </c>
      <c r="M991" t="s">
        <v>1010</v>
      </c>
      <c r="O991">
        <v>31</v>
      </c>
      <c r="FB991">
        <v>1</v>
      </c>
    </row>
    <row r="992" spans="1:193" x14ac:dyDescent="0.25">
      <c r="A992" t="s">
        <v>374</v>
      </c>
      <c r="B992" t="s">
        <v>32</v>
      </c>
      <c r="C992" s="3">
        <f t="shared" si="28"/>
        <v>29.783333333333335</v>
      </c>
      <c r="D992" s="3">
        <f t="shared" si="29"/>
        <v>80.083333333333329</v>
      </c>
      <c r="E992" t="s">
        <v>15</v>
      </c>
      <c r="F992" t="s">
        <v>20</v>
      </c>
      <c r="G992" t="s">
        <v>214</v>
      </c>
      <c r="I992" t="s">
        <v>15</v>
      </c>
      <c r="J992" t="s">
        <v>12</v>
      </c>
      <c r="K992" t="s">
        <v>12</v>
      </c>
      <c r="L992" t="s">
        <v>375</v>
      </c>
      <c r="M992" t="s">
        <v>1010</v>
      </c>
      <c r="O992">
        <v>23</v>
      </c>
      <c r="FC992">
        <v>1</v>
      </c>
    </row>
    <row r="993" spans="1:179" x14ac:dyDescent="0.25">
      <c r="A993" t="s">
        <v>374</v>
      </c>
      <c r="B993" t="s">
        <v>32</v>
      </c>
      <c r="C993" s="3">
        <f t="shared" si="28"/>
        <v>29.783333333333335</v>
      </c>
      <c r="D993" s="3">
        <f t="shared" si="29"/>
        <v>80.083333333333329</v>
      </c>
      <c r="E993" t="s">
        <v>15</v>
      </c>
      <c r="F993" t="s">
        <v>20</v>
      </c>
      <c r="G993" t="s">
        <v>214</v>
      </c>
      <c r="I993" t="s">
        <v>15</v>
      </c>
      <c r="J993" t="s">
        <v>12</v>
      </c>
      <c r="K993" t="s">
        <v>12</v>
      </c>
      <c r="L993" t="s">
        <v>375</v>
      </c>
      <c r="M993" t="s">
        <v>1010</v>
      </c>
      <c r="O993">
        <v>17</v>
      </c>
      <c r="FD993">
        <v>1</v>
      </c>
    </row>
    <row r="994" spans="1:179" x14ac:dyDescent="0.25">
      <c r="A994" t="s">
        <v>374</v>
      </c>
      <c r="B994" t="s">
        <v>32</v>
      </c>
      <c r="C994" s="3">
        <f t="shared" si="28"/>
        <v>29.783333333333335</v>
      </c>
      <c r="D994" s="3">
        <f t="shared" si="29"/>
        <v>80.083333333333329</v>
      </c>
      <c r="E994" t="s">
        <v>15</v>
      </c>
      <c r="F994" t="s">
        <v>20</v>
      </c>
      <c r="G994" t="s">
        <v>214</v>
      </c>
      <c r="I994" t="s">
        <v>15</v>
      </c>
      <c r="J994" t="s">
        <v>12</v>
      </c>
      <c r="K994" t="s">
        <v>12</v>
      </c>
      <c r="L994" t="s">
        <v>375</v>
      </c>
      <c r="M994" t="s">
        <v>1010</v>
      </c>
      <c r="O994">
        <v>23</v>
      </c>
      <c r="FE994">
        <v>1</v>
      </c>
    </row>
    <row r="995" spans="1:179" x14ac:dyDescent="0.25">
      <c r="A995" t="s">
        <v>374</v>
      </c>
      <c r="B995" t="s">
        <v>32</v>
      </c>
      <c r="C995" s="3">
        <f t="shared" si="28"/>
        <v>29.783333333333335</v>
      </c>
      <c r="D995" s="3">
        <f t="shared" si="29"/>
        <v>80.083333333333329</v>
      </c>
      <c r="E995" t="s">
        <v>15</v>
      </c>
      <c r="F995" t="s">
        <v>20</v>
      </c>
      <c r="G995" t="s">
        <v>214</v>
      </c>
      <c r="I995" t="s">
        <v>15</v>
      </c>
      <c r="J995" t="s">
        <v>12</v>
      </c>
      <c r="K995" t="s">
        <v>12</v>
      </c>
      <c r="L995" t="s">
        <v>375</v>
      </c>
      <c r="M995" t="s">
        <v>1010</v>
      </c>
      <c r="O995">
        <v>22</v>
      </c>
      <c r="FF995">
        <v>1</v>
      </c>
    </row>
    <row r="996" spans="1:179" x14ac:dyDescent="0.25">
      <c r="A996" t="s">
        <v>374</v>
      </c>
      <c r="B996" t="s">
        <v>32</v>
      </c>
      <c r="C996" s="3">
        <f t="shared" si="28"/>
        <v>29.783333333333335</v>
      </c>
      <c r="D996" s="3">
        <f t="shared" si="29"/>
        <v>80.083333333333329</v>
      </c>
      <c r="E996" t="s">
        <v>15</v>
      </c>
      <c r="F996" t="s">
        <v>20</v>
      </c>
      <c r="G996" t="s">
        <v>214</v>
      </c>
      <c r="I996" t="s">
        <v>15</v>
      </c>
      <c r="J996" t="s">
        <v>12</v>
      </c>
      <c r="K996" t="s">
        <v>12</v>
      </c>
      <c r="L996" t="s">
        <v>375</v>
      </c>
      <c r="M996" t="s">
        <v>1010</v>
      </c>
      <c r="O996">
        <v>21</v>
      </c>
      <c r="FG996">
        <v>1</v>
      </c>
    </row>
    <row r="997" spans="1:179" x14ac:dyDescent="0.25">
      <c r="A997" t="s">
        <v>374</v>
      </c>
      <c r="B997" t="s">
        <v>32</v>
      </c>
      <c r="C997" s="3">
        <f t="shared" si="28"/>
        <v>29.783333333333335</v>
      </c>
      <c r="D997" s="3">
        <f t="shared" si="29"/>
        <v>80.083333333333329</v>
      </c>
      <c r="E997" t="s">
        <v>15</v>
      </c>
      <c r="F997" t="s">
        <v>20</v>
      </c>
      <c r="G997" t="s">
        <v>214</v>
      </c>
      <c r="I997" t="s">
        <v>15</v>
      </c>
      <c r="J997" t="s">
        <v>12</v>
      </c>
      <c r="K997" t="s">
        <v>12</v>
      </c>
      <c r="L997" t="s">
        <v>375</v>
      </c>
      <c r="M997" t="s">
        <v>1010</v>
      </c>
      <c r="O997">
        <v>32</v>
      </c>
      <c r="FH997">
        <v>1</v>
      </c>
    </row>
    <row r="998" spans="1:179" x14ac:dyDescent="0.25">
      <c r="A998" t="s">
        <v>374</v>
      </c>
      <c r="B998" t="s">
        <v>32</v>
      </c>
      <c r="C998" s="3">
        <f t="shared" si="28"/>
        <v>29.783333333333335</v>
      </c>
      <c r="D998" s="3">
        <f t="shared" si="29"/>
        <v>80.083333333333329</v>
      </c>
      <c r="E998" t="s">
        <v>15</v>
      </c>
      <c r="F998" t="s">
        <v>20</v>
      </c>
      <c r="G998" t="s">
        <v>214</v>
      </c>
      <c r="I998" t="s">
        <v>15</v>
      </c>
      <c r="J998" t="s">
        <v>12</v>
      </c>
      <c r="K998" t="s">
        <v>12</v>
      </c>
      <c r="L998" t="s">
        <v>375</v>
      </c>
      <c r="M998" t="s">
        <v>1010</v>
      </c>
      <c r="O998">
        <v>9</v>
      </c>
      <c r="FM998">
        <v>1</v>
      </c>
    </row>
    <row r="999" spans="1:179" x14ac:dyDescent="0.25">
      <c r="A999" t="s">
        <v>374</v>
      </c>
      <c r="B999" t="s">
        <v>32</v>
      </c>
      <c r="C999" s="3">
        <f t="shared" si="28"/>
        <v>29.783333333333335</v>
      </c>
      <c r="D999" s="3">
        <f t="shared" si="29"/>
        <v>80.083333333333329</v>
      </c>
      <c r="E999" t="s">
        <v>15</v>
      </c>
      <c r="F999" t="s">
        <v>20</v>
      </c>
      <c r="G999" t="s">
        <v>214</v>
      </c>
      <c r="I999" t="s">
        <v>15</v>
      </c>
      <c r="J999" t="s">
        <v>12</v>
      </c>
      <c r="K999" t="s">
        <v>12</v>
      </c>
      <c r="L999" t="s">
        <v>375</v>
      </c>
      <c r="M999" t="s">
        <v>1010</v>
      </c>
      <c r="O999">
        <v>9</v>
      </c>
      <c r="FN999">
        <v>1</v>
      </c>
    </row>
    <row r="1000" spans="1:179" x14ac:dyDescent="0.25">
      <c r="A1000" t="s">
        <v>374</v>
      </c>
      <c r="B1000" t="s">
        <v>32</v>
      </c>
      <c r="C1000" s="3">
        <f t="shared" si="28"/>
        <v>29.783333333333335</v>
      </c>
      <c r="D1000" s="3">
        <f t="shared" si="29"/>
        <v>80.083333333333329</v>
      </c>
      <c r="E1000" t="s">
        <v>15</v>
      </c>
      <c r="F1000" t="s">
        <v>20</v>
      </c>
      <c r="G1000" t="s">
        <v>214</v>
      </c>
      <c r="I1000" t="s">
        <v>15</v>
      </c>
      <c r="J1000" t="s">
        <v>12</v>
      </c>
      <c r="K1000" t="s">
        <v>12</v>
      </c>
      <c r="L1000" t="s">
        <v>375</v>
      </c>
      <c r="M1000" t="s">
        <v>1010</v>
      </c>
      <c r="O1000">
        <v>31</v>
      </c>
      <c r="FO1000">
        <v>1</v>
      </c>
    </row>
    <row r="1001" spans="1:179" x14ac:dyDescent="0.25">
      <c r="A1001" t="s">
        <v>374</v>
      </c>
      <c r="B1001" t="s">
        <v>32</v>
      </c>
      <c r="C1001" s="3">
        <f t="shared" si="28"/>
        <v>29.783333333333335</v>
      </c>
      <c r="D1001" s="3">
        <f t="shared" si="29"/>
        <v>80.083333333333329</v>
      </c>
      <c r="E1001" t="s">
        <v>15</v>
      </c>
      <c r="F1001" t="s">
        <v>20</v>
      </c>
      <c r="G1001" t="s">
        <v>214</v>
      </c>
      <c r="I1001" t="s">
        <v>15</v>
      </c>
      <c r="J1001" t="s">
        <v>12</v>
      </c>
      <c r="K1001" t="s">
        <v>12</v>
      </c>
      <c r="L1001" t="s">
        <v>375</v>
      </c>
      <c r="M1001" t="s">
        <v>1010</v>
      </c>
      <c r="O1001">
        <v>11</v>
      </c>
      <c r="FP1001">
        <v>1</v>
      </c>
    </row>
    <row r="1002" spans="1:179" x14ac:dyDescent="0.25">
      <c r="A1002" t="s">
        <v>374</v>
      </c>
      <c r="B1002" t="s">
        <v>32</v>
      </c>
      <c r="C1002" s="3">
        <f t="shared" si="28"/>
        <v>29.783333333333335</v>
      </c>
      <c r="D1002" s="3">
        <f t="shared" si="29"/>
        <v>80.083333333333329</v>
      </c>
      <c r="E1002" t="s">
        <v>15</v>
      </c>
      <c r="F1002" t="s">
        <v>20</v>
      </c>
      <c r="G1002" t="s">
        <v>214</v>
      </c>
      <c r="I1002" t="s">
        <v>15</v>
      </c>
      <c r="J1002" t="s">
        <v>12</v>
      </c>
      <c r="K1002" t="s">
        <v>12</v>
      </c>
      <c r="L1002" t="s">
        <v>375</v>
      </c>
      <c r="M1002" t="s">
        <v>1010</v>
      </c>
      <c r="O1002">
        <v>10</v>
      </c>
      <c r="FQ1002">
        <v>1</v>
      </c>
    </row>
    <row r="1003" spans="1:179" x14ac:dyDescent="0.25">
      <c r="A1003" t="s">
        <v>374</v>
      </c>
      <c r="B1003" t="s">
        <v>32</v>
      </c>
      <c r="C1003" s="3">
        <f t="shared" si="28"/>
        <v>29.783333333333335</v>
      </c>
      <c r="D1003" s="3">
        <f t="shared" si="29"/>
        <v>80.083333333333329</v>
      </c>
      <c r="E1003" t="s">
        <v>15</v>
      </c>
      <c r="F1003" t="s">
        <v>20</v>
      </c>
      <c r="G1003" t="s">
        <v>214</v>
      </c>
      <c r="I1003" t="s">
        <v>15</v>
      </c>
      <c r="J1003" t="s">
        <v>12</v>
      </c>
      <c r="K1003" t="s">
        <v>12</v>
      </c>
      <c r="L1003" t="s">
        <v>375</v>
      </c>
      <c r="M1003" t="s">
        <v>1010</v>
      </c>
      <c r="O1003">
        <v>32</v>
      </c>
      <c r="FR1003">
        <v>1</v>
      </c>
    </row>
    <row r="1004" spans="1:179" x14ac:dyDescent="0.25">
      <c r="A1004" t="s">
        <v>374</v>
      </c>
      <c r="B1004" t="s">
        <v>32</v>
      </c>
      <c r="C1004" s="3">
        <f t="shared" si="28"/>
        <v>29.783333333333335</v>
      </c>
      <c r="D1004" s="3">
        <f t="shared" si="29"/>
        <v>80.083333333333329</v>
      </c>
      <c r="E1004" t="s">
        <v>15</v>
      </c>
      <c r="F1004" t="s">
        <v>20</v>
      </c>
      <c r="G1004" t="s">
        <v>214</v>
      </c>
      <c r="I1004" t="s">
        <v>15</v>
      </c>
      <c r="J1004" t="s">
        <v>12</v>
      </c>
      <c r="K1004" t="s">
        <v>12</v>
      </c>
      <c r="L1004" t="s">
        <v>375</v>
      </c>
      <c r="M1004" t="s">
        <v>1010</v>
      </c>
      <c r="O1004">
        <v>45</v>
      </c>
      <c r="FS1004">
        <v>1</v>
      </c>
    </row>
    <row r="1005" spans="1:179" x14ac:dyDescent="0.25">
      <c r="A1005" t="s">
        <v>374</v>
      </c>
      <c r="B1005" t="s">
        <v>32</v>
      </c>
      <c r="C1005" s="3">
        <f t="shared" si="28"/>
        <v>29.783333333333335</v>
      </c>
      <c r="D1005" s="3">
        <f t="shared" si="29"/>
        <v>80.083333333333329</v>
      </c>
      <c r="E1005" t="s">
        <v>15</v>
      </c>
      <c r="F1005" t="s">
        <v>20</v>
      </c>
      <c r="G1005" t="s">
        <v>214</v>
      </c>
      <c r="I1005" t="s">
        <v>15</v>
      </c>
      <c r="J1005" t="s">
        <v>12</v>
      </c>
      <c r="K1005" t="s">
        <v>12</v>
      </c>
      <c r="L1005" t="s">
        <v>375</v>
      </c>
      <c r="M1005" t="s">
        <v>1010</v>
      </c>
      <c r="O1005">
        <v>48</v>
      </c>
      <c r="FT1005">
        <v>1</v>
      </c>
    </row>
    <row r="1006" spans="1:179" x14ac:dyDescent="0.25">
      <c r="A1006" t="s">
        <v>374</v>
      </c>
      <c r="B1006" t="s">
        <v>32</v>
      </c>
      <c r="C1006" s="3">
        <f t="shared" si="28"/>
        <v>29.783333333333335</v>
      </c>
      <c r="D1006" s="3">
        <f t="shared" si="29"/>
        <v>80.083333333333329</v>
      </c>
      <c r="E1006" t="s">
        <v>15</v>
      </c>
      <c r="F1006" t="s">
        <v>20</v>
      </c>
      <c r="G1006" t="s">
        <v>214</v>
      </c>
      <c r="I1006" t="s">
        <v>15</v>
      </c>
      <c r="J1006" t="s">
        <v>12</v>
      </c>
      <c r="K1006" t="s">
        <v>12</v>
      </c>
      <c r="L1006" t="s">
        <v>375</v>
      </c>
      <c r="M1006" t="s">
        <v>1010</v>
      </c>
      <c r="O1006">
        <v>49</v>
      </c>
      <c r="FU1006">
        <v>1</v>
      </c>
    </row>
    <row r="1007" spans="1:179" x14ac:dyDescent="0.25">
      <c r="A1007" t="s">
        <v>374</v>
      </c>
      <c r="B1007" t="s">
        <v>32</v>
      </c>
      <c r="C1007" s="3">
        <f t="shared" si="28"/>
        <v>29.783333333333335</v>
      </c>
      <c r="D1007" s="3">
        <f t="shared" si="29"/>
        <v>80.083333333333329</v>
      </c>
      <c r="E1007" t="s">
        <v>15</v>
      </c>
      <c r="F1007" t="s">
        <v>20</v>
      </c>
      <c r="G1007" t="s">
        <v>214</v>
      </c>
      <c r="I1007" t="s">
        <v>15</v>
      </c>
      <c r="J1007" t="s">
        <v>12</v>
      </c>
      <c r="K1007" t="s">
        <v>12</v>
      </c>
      <c r="L1007" t="s">
        <v>375</v>
      </c>
      <c r="M1007" t="s">
        <v>1010</v>
      </c>
      <c r="O1007">
        <v>19</v>
      </c>
      <c r="FV1007">
        <v>1</v>
      </c>
    </row>
    <row r="1008" spans="1:179" x14ac:dyDescent="0.25">
      <c r="A1008" t="s">
        <v>374</v>
      </c>
      <c r="B1008" t="s">
        <v>32</v>
      </c>
      <c r="C1008" s="3">
        <f t="shared" si="28"/>
        <v>29.783333333333335</v>
      </c>
      <c r="D1008" s="3">
        <f t="shared" si="29"/>
        <v>80.083333333333329</v>
      </c>
      <c r="E1008" t="s">
        <v>15</v>
      </c>
      <c r="F1008" t="s">
        <v>20</v>
      </c>
      <c r="G1008" t="s">
        <v>214</v>
      </c>
      <c r="I1008" t="s">
        <v>15</v>
      </c>
      <c r="J1008" t="s">
        <v>12</v>
      </c>
      <c r="K1008" t="s">
        <v>12</v>
      </c>
      <c r="L1008" t="s">
        <v>375</v>
      </c>
      <c r="M1008" t="s">
        <v>1010</v>
      </c>
      <c r="O1008">
        <v>14</v>
      </c>
      <c r="FW1008">
        <v>1</v>
      </c>
    </row>
    <row r="1009" spans="1:184" x14ac:dyDescent="0.25">
      <c r="A1009" t="s">
        <v>374</v>
      </c>
      <c r="B1009" t="s">
        <v>32</v>
      </c>
      <c r="C1009" s="3">
        <f t="shared" si="28"/>
        <v>29.783333333333335</v>
      </c>
      <c r="D1009" s="3">
        <f t="shared" si="29"/>
        <v>80.083333333333329</v>
      </c>
      <c r="E1009" t="s">
        <v>15</v>
      </c>
      <c r="F1009" t="s">
        <v>20</v>
      </c>
      <c r="G1009" t="s">
        <v>214</v>
      </c>
      <c r="I1009" t="s">
        <v>15</v>
      </c>
      <c r="J1009" t="s">
        <v>12</v>
      </c>
      <c r="K1009" t="s">
        <v>12</v>
      </c>
      <c r="L1009" t="s">
        <v>375</v>
      </c>
      <c r="M1009" t="s">
        <v>1010</v>
      </c>
      <c r="O1009">
        <v>15</v>
      </c>
      <c r="FX1009">
        <v>1</v>
      </c>
    </row>
    <row r="1010" spans="1:184" x14ac:dyDescent="0.25">
      <c r="A1010" t="s">
        <v>374</v>
      </c>
      <c r="B1010" t="s">
        <v>32</v>
      </c>
      <c r="C1010" s="3">
        <f t="shared" si="28"/>
        <v>29.783333333333335</v>
      </c>
      <c r="D1010" s="3">
        <f t="shared" si="29"/>
        <v>80.083333333333329</v>
      </c>
      <c r="E1010" t="s">
        <v>15</v>
      </c>
      <c r="F1010" t="s">
        <v>20</v>
      </c>
      <c r="G1010" t="s">
        <v>214</v>
      </c>
      <c r="I1010" t="s">
        <v>15</v>
      </c>
      <c r="J1010" t="s">
        <v>12</v>
      </c>
      <c r="K1010" t="s">
        <v>12</v>
      </c>
      <c r="L1010" t="s">
        <v>375</v>
      </c>
      <c r="M1010" t="s">
        <v>1010</v>
      </c>
      <c r="O1010">
        <v>18</v>
      </c>
      <c r="FY1010">
        <v>1</v>
      </c>
    </row>
    <row r="1011" spans="1:184" x14ac:dyDescent="0.25">
      <c r="A1011" t="s">
        <v>374</v>
      </c>
      <c r="B1011" t="s">
        <v>32</v>
      </c>
      <c r="C1011" s="3">
        <f t="shared" si="28"/>
        <v>29.783333333333335</v>
      </c>
      <c r="D1011" s="3">
        <f t="shared" si="29"/>
        <v>80.083333333333329</v>
      </c>
      <c r="E1011" t="s">
        <v>15</v>
      </c>
      <c r="F1011" t="s">
        <v>20</v>
      </c>
      <c r="G1011" t="s">
        <v>214</v>
      </c>
      <c r="I1011" t="s">
        <v>15</v>
      </c>
      <c r="J1011" t="s">
        <v>12</v>
      </c>
      <c r="K1011" t="s">
        <v>12</v>
      </c>
      <c r="L1011" t="s">
        <v>375</v>
      </c>
      <c r="M1011" t="s">
        <v>1010</v>
      </c>
      <c r="O1011">
        <v>40</v>
      </c>
      <c r="FZ1011">
        <v>1</v>
      </c>
    </row>
    <row r="1012" spans="1:184" x14ac:dyDescent="0.25">
      <c r="A1012" t="s">
        <v>374</v>
      </c>
      <c r="B1012" t="s">
        <v>32</v>
      </c>
      <c r="C1012" s="3">
        <f t="shared" si="28"/>
        <v>29.783333333333335</v>
      </c>
      <c r="D1012" s="3">
        <f t="shared" si="29"/>
        <v>80.083333333333329</v>
      </c>
      <c r="E1012" t="s">
        <v>15</v>
      </c>
      <c r="F1012" t="s">
        <v>20</v>
      </c>
      <c r="G1012" t="s">
        <v>214</v>
      </c>
      <c r="I1012" t="s">
        <v>15</v>
      </c>
      <c r="J1012" t="s">
        <v>12</v>
      </c>
      <c r="K1012" t="s">
        <v>12</v>
      </c>
      <c r="L1012" t="s">
        <v>375</v>
      </c>
      <c r="M1012" t="s">
        <v>1010</v>
      </c>
      <c r="O1012">
        <v>33</v>
      </c>
      <c r="GA1012">
        <v>1</v>
      </c>
    </row>
    <row r="1013" spans="1:184" x14ac:dyDescent="0.25">
      <c r="A1013" t="s">
        <v>374</v>
      </c>
      <c r="B1013" t="s">
        <v>32</v>
      </c>
      <c r="C1013" s="3">
        <f t="shared" si="28"/>
        <v>29.783333333333335</v>
      </c>
      <c r="D1013" s="3">
        <f t="shared" si="29"/>
        <v>80.083333333333329</v>
      </c>
      <c r="E1013" t="s">
        <v>15</v>
      </c>
      <c r="F1013" t="s">
        <v>20</v>
      </c>
      <c r="G1013" t="s">
        <v>214</v>
      </c>
      <c r="I1013" t="s">
        <v>15</v>
      </c>
      <c r="J1013" t="s">
        <v>12</v>
      </c>
      <c r="K1013" t="s">
        <v>12</v>
      </c>
      <c r="L1013" t="s">
        <v>375</v>
      </c>
      <c r="M1013" t="s">
        <v>1010</v>
      </c>
      <c r="O1013">
        <v>19</v>
      </c>
      <c r="GB1013">
        <v>1</v>
      </c>
    </row>
    <row r="1014" spans="1:184" x14ac:dyDescent="0.25">
      <c r="A1014" t="s">
        <v>31</v>
      </c>
      <c r="B1014" t="s">
        <v>32</v>
      </c>
      <c r="C1014" s="3">
        <f>18+54/60+14/3600</f>
        <v>18.903888888888886</v>
      </c>
      <c r="D1014" s="3">
        <f>72+48/60+44/3600</f>
        <v>72.812222222222218</v>
      </c>
      <c r="E1014" t="s">
        <v>34</v>
      </c>
      <c r="F1014" t="s">
        <v>20</v>
      </c>
      <c r="G1014" t="s">
        <v>30</v>
      </c>
      <c r="H1014">
        <v>40</v>
      </c>
      <c r="I1014" t="s">
        <v>15</v>
      </c>
      <c r="J1014" t="s">
        <v>12</v>
      </c>
      <c r="K1014" t="s">
        <v>12</v>
      </c>
      <c r="L1014" t="s">
        <v>38</v>
      </c>
      <c r="M1014" t="s">
        <v>789</v>
      </c>
      <c r="O1014">
        <f>AVERAGE(95,70,68,66,63,61,60,58,58,57,52,52,51,50,46,35)</f>
        <v>58.875</v>
      </c>
      <c r="P1014">
        <f>STDEV(95,70,68,66,63,61,60,58,58,57,52,52,51,50,46,35)</f>
        <v>13.068409747682896</v>
      </c>
      <c r="FG1014">
        <v>1</v>
      </c>
      <c r="FH1014">
        <v>1</v>
      </c>
      <c r="FI1014">
        <v>1</v>
      </c>
    </row>
    <row r="1015" spans="1:184" x14ac:dyDescent="0.25">
      <c r="A1015" t="s">
        <v>31</v>
      </c>
      <c r="B1015" t="s">
        <v>32</v>
      </c>
      <c r="C1015" s="3">
        <f>18+54/60+14/3600</f>
        <v>18.903888888888886</v>
      </c>
      <c r="D1015" s="3">
        <f>72+48/60+44/3600</f>
        <v>72.812222222222218</v>
      </c>
      <c r="E1015" t="s">
        <v>34</v>
      </c>
      <c r="F1015" t="s">
        <v>20</v>
      </c>
      <c r="G1015" t="s">
        <v>30</v>
      </c>
      <c r="H1015">
        <v>40</v>
      </c>
      <c r="I1015" t="s">
        <v>15</v>
      </c>
      <c r="J1015" t="s">
        <v>12</v>
      </c>
      <c r="K1015" t="s">
        <v>12</v>
      </c>
      <c r="L1015" t="s">
        <v>38</v>
      </c>
      <c r="M1015" t="s">
        <v>789</v>
      </c>
      <c r="O1015">
        <f>AVERAGE(76,60,60,70,71,71,60,60,50,41,64,60,83)</f>
        <v>63.53846153846154</v>
      </c>
      <c r="P1015">
        <f>STDEV(76,60,60,70,71,71,60,60,50,41,64,60,83)</f>
        <v>10.959131539614068</v>
      </c>
      <c r="FN1015">
        <v>1</v>
      </c>
      <c r="FO1015">
        <v>1</v>
      </c>
    </row>
    <row r="1016" spans="1:184" x14ac:dyDescent="0.25">
      <c r="A1016" t="s">
        <v>31</v>
      </c>
      <c r="B1016" t="s">
        <v>32</v>
      </c>
      <c r="C1016" s="3">
        <f>18+54/60+14/3600</f>
        <v>18.903888888888886</v>
      </c>
      <c r="D1016" s="3">
        <f>72+48/60+44/3600</f>
        <v>72.812222222222218</v>
      </c>
      <c r="E1016" t="s">
        <v>34</v>
      </c>
      <c r="F1016" t="s">
        <v>20</v>
      </c>
      <c r="G1016" t="s">
        <v>30</v>
      </c>
      <c r="H1016">
        <v>40</v>
      </c>
      <c r="I1016" t="s">
        <v>15</v>
      </c>
      <c r="J1016" t="s">
        <v>12</v>
      </c>
      <c r="K1016" t="s">
        <v>12</v>
      </c>
      <c r="L1016" t="s">
        <v>38</v>
      </c>
      <c r="M1016" t="s">
        <v>789</v>
      </c>
      <c r="O1016">
        <f>AVERAGE(82,83,38,101,71,137,122,92,68,83,45,69,88,99,90)</f>
        <v>84.533333333333331</v>
      </c>
      <c r="P1016">
        <f>STDEV(82,83,38,101,71,137,122,92,68,83,45,69,88,99,90)</f>
        <v>25.595386489049346</v>
      </c>
      <c r="FP1016">
        <v>1</v>
      </c>
      <c r="FQ1016">
        <v>1</v>
      </c>
    </row>
    <row r="1017" spans="1:184" x14ac:dyDescent="0.25">
      <c r="A1017" t="s">
        <v>31</v>
      </c>
      <c r="B1017" t="s">
        <v>32</v>
      </c>
      <c r="C1017" s="3">
        <f>19+3/60+33/3600</f>
        <v>19.059166666666666</v>
      </c>
      <c r="D1017" s="3">
        <f>72+54/60+39/3600</f>
        <v>72.910833333333343</v>
      </c>
      <c r="E1017" t="s">
        <v>34</v>
      </c>
      <c r="F1017" t="s">
        <v>22</v>
      </c>
      <c r="G1017" t="s">
        <v>30</v>
      </c>
      <c r="H1017">
        <v>40</v>
      </c>
      <c r="I1017" t="s">
        <v>15</v>
      </c>
      <c r="J1017" t="s">
        <v>12</v>
      </c>
      <c r="K1017" t="s">
        <v>12</v>
      </c>
      <c r="L1017" t="s">
        <v>38</v>
      </c>
      <c r="M1017" t="s">
        <v>789</v>
      </c>
      <c r="O1017">
        <f>AVERAGE(140,51,71,94,48,49,67,61,55,50,63,60,52,60,50)</f>
        <v>64.733333333333334</v>
      </c>
      <c r="P1017">
        <f>STDEV(140,51,71,94,48,49,67,61,55,50,63,60,52,60,50)</f>
        <v>23.956706984137231</v>
      </c>
      <c r="FG1017">
        <v>1</v>
      </c>
      <c r="FH1017">
        <v>1</v>
      </c>
      <c r="FI1017">
        <v>1</v>
      </c>
    </row>
    <row r="1018" spans="1:184" x14ac:dyDescent="0.25">
      <c r="A1018" t="s">
        <v>31</v>
      </c>
      <c r="B1018" t="s">
        <v>32</v>
      </c>
      <c r="C1018" s="3">
        <f>19+3/60+33/3600</f>
        <v>19.059166666666666</v>
      </c>
      <c r="D1018" s="3">
        <f>72+54/60+39/3600</f>
        <v>72.910833333333343</v>
      </c>
      <c r="E1018" t="s">
        <v>34</v>
      </c>
      <c r="F1018" t="s">
        <v>22</v>
      </c>
      <c r="G1018" t="s">
        <v>30</v>
      </c>
      <c r="H1018">
        <v>40</v>
      </c>
      <c r="I1018" t="s">
        <v>15</v>
      </c>
      <c r="J1018" t="s">
        <v>12</v>
      </c>
      <c r="K1018" t="s">
        <v>12</v>
      </c>
      <c r="L1018" t="s">
        <v>38</v>
      </c>
      <c r="M1018" t="s">
        <v>789</v>
      </c>
      <c r="O1018">
        <f>AVERAGE(103,99,116,100,70,81,116,97,71,90,87,89,140,160)</f>
        <v>101.35714285714286</v>
      </c>
      <c r="P1018">
        <f>STDEV(103,99,116,100,70,81,116,97,71,90,87,89,140,160)</f>
        <v>25.110853132758063</v>
      </c>
      <c r="FN1018">
        <v>1</v>
      </c>
      <c r="FO1018">
        <v>1</v>
      </c>
    </row>
    <row r="1019" spans="1:184" x14ac:dyDescent="0.25">
      <c r="A1019" t="s">
        <v>31</v>
      </c>
      <c r="B1019" t="s">
        <v>32</v>
      </c>
      <c r="C1019" s="3">
        <f>19+3/60+33/3600</f>
        <v>19.059166666666666</v>
      </c>
      <c r="D1019" s="3">
        <f>72+54/60+39/3600</f>
        <v>72.910833333333343</v>
      </c>
      <c r="E1019" t="s">
        <v>34</v>
      </c>
      <c r="F1019" t="s">
        <v>22</v>
      </c>
      <c r="G1019" t="s">
        <v>30</v>
      </c>
      <c r="H1019">
        <v>40</v>
      </c>
      <c r="I1019" t="s">
        <v>15</v>
      </c>
      <c r="J1019" t="s">
        <v>12</v>
      </c>
      <c r="K1019" t="s">
        <v>12</v>
      </c>
      <c r="L1019" t="s">
        <v>38</v>
      </c>
      <c r="M1019" t="s">
        <v>789</v>
      </c>
      <c r="O1019">
        <f>AVERAGE(135,172,139,95,76,91,98,151,85,100,62,190,134,135,94,121)</f>
        <v>117.375</v>
      </c>
      <c r="P1019">
        <f>STDEV(135,172,139,95,76,91,98,151,85,100,62,190,134,135,94,121)</f>
        <v>35.60313656594505</v>
      </c>
      <c r="FP1019">
        <v>1</v>
      </c>
      <c r="FQ1019">
        <v>1</v>
      </c>
    </row>
    <row r="1020" spans="1:184" x14ac:dyDescent="0.25">
      <c r="A1020" t="s">
        <v>31</v>
      </c>
      <c r="B1020" t="s">
        <v>32</v>
      </c>
      <c r="C1020" s="3">
        <f>19+4/60+15/3600</f>
        <v>19.070833333333333</v>
      </c>
      <c r="D1020" s="3">
        <f>72+50/60+12/3600</f>
        <v>72.836666666666659</v>
      </c>
      <c r="E1020" t="s">
        <v>34</v>
      </c>
      <c r="F1020" t="s">
        <v>21</v>
      </c>
      <c r="G1020" t="s">
        <v>30</v>
      </c>
      <c r="H1020">
        <v>40</v>
      </c>
      <c r="I1020" t="s">
        <v>15</v>
      </c>
      <c r="J1020" t="s">
        <v>12</v>
      </c>
      <c r="K1020" t="s">
        <v>12</v>
      </c>
      <c r="L1020" t="s">
        <v>38</v>
      </c>
      <c r="M1020" t="s">
        <v>789</v>
      </c>
      <c r="O1020">
        <f>AVERAGE(47,40,50,33,53,32,48,52,45,57,50,60)</f>
        <v>47.25</v>
      </c>
      <c r="P1020">
        <f>STDEV(47,40,50,33,53,32,48,52,45,57,50,60)</f>
        <v>8.6458082328952912</v>
      </c>
      <c r="FG1020">
        <v>1</v>
      </c>
      <c r="FH1020">
        <v>1</v>
      </c>
      <c r="FI1020">
        <v>1</v>
      </c>
    </row>
    <row r="1021" spans="1:184" x14ac:dyDescent="0.25">
      <c r="A1021" t="s">
        <v>31</v>
      </c>
      <c r="B1021" t="s">
        <v>32</v>
      </c>
      <c r="C1021" s="3">
        <f>19+4/60+15/3600</f>
        <v>19.070833333333333</v>
      </c>
      <c r="D1021" s="3">
        <f>72+50/60+12/3600</f>
        <v>72.836666666666659</v>
      </c>
      <c r="E1021" t="s">
        <v>34</v>
      </c>
      <c r="F1021" t="s">
        <v>21</v>
      </c>
      <c r="G1021" t="s">
        <v>30</v>
      </c>
      <c r="H1021">
        <v>40</v>
      </c>
      <c r="I1021" t="s">
        <v>15</v>
      </c>
      <c r="J1021" t="s">
        <v>12</v>
      </c>
      <c r="K1021" t="s">
        <v>12</v>
      </c>
      <c r="L1021" t="s">
        <v>38</v>
      </c>
      <c r="M1021" t="s">
        <v>789</v>
      </c>
      <c r="O1021">
        <f>AVERAGE(97,89,101,125,133,119,100,90,109,112,97,87,98,106)</f>
        <v>104.5</v>
      </c>
      <c r="P1021">
        <f>STDEV(97,89,101,125,133,119,100,90,109,112,97,87,98,106)</f>
        <v>13.771486708189721</v>
      </c>
      <c r="FN1021">
        <v>1</v>
      </c>
      <c r="FO1021">
        <v>1</v>
      </c>
    </row>
    <row r="1022" spans="1:184" x14ac:dyDescent="0.25">
      <c r="A1022" t="s">
        <v>31</v>
      </c>
      <c r="B1022" t="s">
        <v>32</v>
      </c>
      <c r="C1022" s="3">
        <f>19+4/60+15/3600</f>
        <v>19.070833333333333</v>
      </c>
      <c r="D1022" s="3">
        <f>72+50/60+12/3600</f>
        <v>72.836666666666659</v>
      </c>
      <c r="E1022" t="s">
        <v>34</v>
      </c>
      <c r="F1022" t="s">
        <v>21</v>
      </c>
      <c r="G1022" t="s">
        <v>30</v>
      </c>
      <c r="H1022">
        <v>40</v>
      </c>
      <c r="I1022" t="s">
        <v>15</v>
      </c>
      <c r="J1022" t="s">
        <v>12</v>
      </c>
      <c r="K1022" t="s">
        <v>12</v>
      </c>
      <c r="L1022" t="s">
        <v>38</v>
      </c>
      <c r="M1022" t="s">
        <v>789</v>
      </c>
      <c r="O1022">
        <f>AVERAGE(149,137,126,117,98,110,103,99,126,150,146,104,93,111,70)</f>
        <v>115.93333333333334</v>
      </c>
      <c r="P1022">
        <f>STDEV(149,137,126,117,98,110,103,99,126,150,146,104,93,111,70)</f>
        <v>23.020074055567427</v>
      </c>
      <c r="FP1022">
        <v>1</v>
      </c>
      <c r="FQ1022">
        <v>1</v>
      </c>
    </row>
    <row r="1023" spans="1:184" x14ac:dyDescent="0.25">
      <c r="A1023" t="s">
        <v>31</v>
      </c>
      <c r="B1023" t="s">
        <v>32</v>
      </c>
      <c r="C1023" s="3">
        <f>19+1/60+10/3600</f>
        <v>19.019444444444442</v>
      </c>
      <c r="D1023" s="3">
        <f>72+50/60+17/3600</f>
        <v>72.838055555555556</v>
      </c>
      <c r="E1023" t="s">
        <v>34</v>
      </c>
      <c r="F1023" t="s">
        <v>77</v>
      </c>
      <c r="G1023" t="s">
        <v>30</v>
      </c>
      <c r="H1023">
        <v>40</v>
      </c>
      <c r="I1023" t="s">
        <v>15</v>
      </c>
      <c r="J1023" t="s">
        <v>12</v>
      </c>
      <c r="K1023" t="s">
        <v>12</v>
      </c>
      <c r="L1023" t="s">
        <v>38</v>
      </c>
      <c r="M1023" t="s">
        <v>789</v>
      </c>
      <c r="O1023">
        <f>AVERAGE(81,67,58,69,69,51,54,46,56,56,56,54)</f>
        <v>59.75</v>
      </c>
      <c r="P1023">
        <f>STDEV(81,67,58,69,69,51,54,46,56,56,56,54)</f>
        <v>9.7805465547223331</v>
      </c>
      <c r="FG1023">
        <v>1</v>
      </c>
      <c r="FH1023">
        <v>1</v>
      </c>
      <c r="FI1023">
        <v>1</v>
      </c>
    </row>
    <row r="1024" spans="1:184" x14ac:dyDescent="0.25">
      <c r="A1024" t="s">
        <v>31</v>
      </c>
      <c r="B1024" t="s">
        <v>32</v>
      </c>
      <c r="C1024" s="3">
        <f>19+1/60+10/3600</f>
        <v>19.019444444444442</v>
      </c>
      <c r="D1024" s="3">
        <f>72+50/60+17/3600</f>
        <v>72.838055555555556</v>
      </c>
      <c r="E1024" t="s">
        <v>34</v>
      </c>
      <c r="F1024" t="s">
        <v>77</v>
      </c>
      <c r="G1024" t="s">
        <v>30</v>
      </c>
      <c r="H1024">
        <v>40</v>
      </c>
      <c r="I1024" t="s">
        <v>15</v>
      </c>
      <c r="J1024" t="s">
        <v>12</v>
      </c>
      <c r="K1024" t="s">
        <v>12</v>
      </c>
      <c r="L1024" t="s">
        <v>38</v>
      </c>
      <c r="M1024" t="s">
        <v>789</v>
      </c>
      <c r="O1024">
        <f>AVERAGE(85,80,85,81,88,90,114,89,39,68,98,89,75,74,85)</f>
        <v>82.666666666666671</v>
      </c>
      <c r="P1024">
        <f>STDEV(85,80,85,81,88,90,114,89,39,68,98,89,75,74,85)</f>
        <v>16.171697793485048</v>
      </c>
      <c r="FN1024">
        <v>1</v>
      </c>
      <c r="FO1024">
        <v>1</v>
      </c>
    </row>
    <row r="1025" spans="1:173" x14ac:dyDescent="0.25">
      <c r="A1025" t="s">
        <v>31</v>
      </c>
      <c r="B1025" t="s">
        <v>32</v>
      </c>
      <c r="C1025" s="3">
        <f>19+1/60+10/3600</f>
        <v>19.019444444444442</v>
      </c>
      <c r="D1025" s="3">
        <f>72+50/60+17/3600</f>
        <v>72.838055555555556</v>
      </c>
      <c r="E1025" t="s">
        <v>34</v>
      </c>
      <c r="F1025" t="s">
        <v>77</v>
      </c>
      <c r="G1025" t="s">
        <v>30</v>
      </c>
      <c r="H1025">
        <v>40</v>
      </c>
      <c r="I1025" t="s">
        <v>15</v>
      </c>
      <c r="J1025" t="s">
        <v>12</v>
      </c>
      <c r="K1025" t="s">
        <v>12</v>
      </c>
      <c r="L1025" t="s">
        <v>38</v>
      </c>
      <c r="M1025" t="s">
        <v>789</v>
      </c>
      <c r="O1025">
        <f>AVERAGE(113,160,180,82,134,178,100,66,76,128,90,82,82,72,90,140)</f>
        <v>110.8125</v>
      </c>
      <c r="P1025">
        <f>STDEV(113,160,180,82,134,178,100,66,76,128,90,82,82,72,90,140)</f>
        <v>37.956499223892258</v>
      </c>
      <c r="FP1025">
        <v>1</v>
      </c>
      <c r="FQ1025">
        <v>1</v>
      </c>
    </row>
    <row r="1026" spans="1:173" x14ac:dyDescent="0.25">
      <c r="A1026" t="s">
        <v>31</v>
      </c>
      <c r="B1026" t="s">
        <v>32</v>
      </c>
      <c r="C1026" s="3">
        <v>18.933333333333334</v>
      </c>
      <c r="D1026" s="3">
        <v>72.849999999999994</v>
      </c>
      <c r="E1026" t="s">
        <v>12</v>
      </c>
      <c r="F1026" t="s">
        <v>77</v>
      </c>
      <c r="G1026" t="s">
        <v>740</v>
      </c>
      <c r="I1026" t="s">
        <v>15</v>
      </c>
      <c r="J1026" t="s">
        <v>15</v>
      </c>
      <c r="K1026" t="s">
        <v>15</v>
      </c>
      <c r="L1026" t="s">
        <v>777</v>
      </c>
      <c r="M1026" t="s">
        <v>836</v>
      </c>
      <c r="O1026">
        <v>52.424999999999997</v>
      </c>
      <c r="P1026">
        <v>3.6585379593493355</v>
      </c>
      <c r="CM1026">
        <v>1</v>
      </c>
      <c r="CN1026">
        <v>1</v>
      </c>
      <c r="CO1026">
        <v>1</v>
      </c>
      <c r="CP1026">
        <v>1</v>
      </c>
      <c r="CQ1026">
        <v>1</v>
      </c>
      <c r="CR1026">
        <v>1</v>
      </c>
      <c r="CS1026">
        <v>1</v>
      </c>
      <c r="CT1026">
        <v>1</v>
      </c>
      <c r="CU1026">
        <v>1</v>
      </c>
      <c r="CV1026">
        <v>1</v>
      </c>
      <c r="CW1026">
        <v>1</v>
      </c>
    </row>
    <row r="1027" spans="1:173" x14ac:dyDescent="0.25">
      <c r="A1027" t="s">
        <v>31</v>
      </c>
      <c r="B1027" t="s">
        <v>32</v>
      </c>
      <c r="C1027" s="3">
        <v>19.059999999999999</v>
      </c>
      <c r="D1027" s="3">
        <v>72.88</v>
      </c>
      <c r="E1027" t="s">
        <v>12</v>
      </c>
      <c r="F1027" t="s">
        <v>20</v>
      </c>
      <c r="G1027" t="s">
        <v>106</v>
      </c>
      <c r="I1027" t="s">
        <v>15</v>
      </c>
      <c r="J1027" t="s">
        <v>15</v>
      </c>
      <c r="K1027" t="s">
        <v>15</v>
      </c>
      <c r="L1027" t="s">
        <v>549</v>
      </c>
      <c r="M1027" t="s">
        <v>919</v>
      </c>
      <c r="O1027">
        <v>58</v>
      </c>
      <c r="FG1027">
        <v>1</v>
      </c>
      <c r="FH1027">
        <v>1</v>
      </c>
      <c r="FI1027">
        <v>1</v>
      </c>
    </row>
    <row r="1028" spans="1:173" x14ac:dyDescent="0.25">
      <c r="A1028" t="s">
        <v>31</v>
      </c>
      <c r="B1028" t="s">
        <v>32</v>
      </c>
      <c r="C1028" s="3">
        <v>19.059999999999999</v>
      </c>
      <c r="D1028" s="3">
        <v>72.88</v>
      </c>
      <c r="E1028" t="s">
        <v>12</v>
      </c>
      <c r="F1028" t="s">
        <v>20</v>
      </c>
      <c r="G1028" t="s">
        <v>106</v>
      </c>
      <c r="I1028" t="s">
        <v>15</v>
      </c>
      <c r="J1028" t="s">
        <v>15</v>
      </c>
      <c r="K1028" t="s">
        <v>15</v>
      </c>
      <c r="L1028" t="s">
        <v>549</v>
      </c>
      <c r="M1028" t="s">
        <v>919</v>
      </c>
      <c r="O1028">
        <v>64</v>
      </c>
      <c r="FN1028">
        <v>1</v>
      </c>
      <c r="FO1028">
        <v>1</v>
      </c>
    </row>
    <row r="1029" spans="1:173" x14ac:dyDescent="0.25">
      <c r="A1029" t="s">
        <v>31</v>
      </c>
      <c r="B1029" t="s">
        <v>32</v>
      </c>
      <c r="C1029" s="3">
        <v>19.059999999999999</v>
      </c>
      <c r="D1029" s="3">
        <v>72.88</v>
      </c>
      <c r="E1029" t="s">
        <v>12</v>
      </c>
      <c r="F1029" t="s">
        <v>20</v>
      </c>
      <c r="G1029" t="s">
        <v>106</v>
      </c>
      <c r="I1029" t="s">
        <v>15</v>
      </c>
      <c r="J1029" t="s">
        <v>15</v>
      </c>
      <c r="K1029" t="s">
        <v>15</v>
      </c>
      <c r="L1029" t="s">
        <v>549</v>
      </c>
      <c r="M1029" t="s">
        <v>919</v>
      </c>
      <c r="O1029">
        <v>85</v>
      </c>
      <c r="FP1029">
        <v>1</v>
      </c>
      <c r="FQ1029">
        <v>1</v>
      </c>
    </row>
    <row r="1030" spans="1:173" x14ac:dyDescent="0.25">
      <c r="A1030" t="s">
        <v>31</v>
      </c>
      <c r="B1030" t="s">
        <v>32</v>
      </c>
      <c r="C1030" s="3">
        <v>19.059999999999999</v>
      </c>
      <c r="D1030" s="3">
        <v>72.88</v>
      </c>
      <c r="E1030" t="s">
        <v>12</v>
      </c>
      <c r="F1030" t="s">
        <v>34</v>
      </c>
      <c r="G1030" t="s">
        <v>106</v>
      </c>
      <c r="I1030" t="s">
        <v>15</v>
      </c>
      <c r="J1030" t="s">
        <v>15</v>
      </c>
      <c r="K1030" t="s">
        <v>15</v>
      </c>
      <c r="L1030" t="s">
        <v>549</v>
      </c>
      <c r="M1030" t="s">
        <v>919</v>
      </c>
      <c r="O1030">
        <v>59</v>
      </c>
      <c r="FG1030">
        <v>1</v>
      </c>
      <c r="FH1030">
        <v>1</v>
      </c>
      <c r="FI1030">
        <v>1</v>
      </c>
    </row>
    <row r="1031" spans="1:173" x14ac:dyDescent="0.25">
      <c r="A1031" t="s">
        <v>31</v>
      </c>
      <c r="B1031" t="s">
        <v>32</v>
      </c>
      <c r="C1031" s="3">
        <v>19.059999999999999</v>
      </c>
      <c r="D1031" s="3">
        <v>72.88</v>
      </c>
      <c r="E1031" t="s">
        <v>12</v>
      </c>
      <c r="F1031" t="s">
        <v>34</v>
      </c>
      <c r="G1031" t="s">
        <v>106</v>
      </c>
      <c r="I1031" t="s">
        <v>15</v>
      </c>
      <c r="J1031" t="s">
        <v>15</v>
      </c>
      <c r="K1031" t="s">
        <v>15</v>
      </c>
      <c r="L1031" t="s">
        <v>549</v>
      </c>
      <c r="M1031" t="s">
        <v>919</v>
      </c>
      <c r="O1031">
        <v>85</v>
      </c>
      <c r="FN1031">
        <v>1</v>
      </c>
      <c r="FO1031">
        <v>1</v>
      </c>
    </row>
    <row r="1032" spans="1:173" x14ac:dyDescent="0.25">
      <c r="A1032" t="s">
        <v>31</v>
      </c>
      <c r="B1032" t="s">
        <v>32</v>
      </c>
      <c r="C1032" s="3">
        <v>19.059999999999999</v>
      </c>
      <c r="D1032" s="3">
        <v>72.88</v>
      </c>
      <c r="E1032" t="s">
        <v>12</v>
      </c>
      <c r="F1032" t="s">
        <v>34</v>
      </c>
      <c r="G1032" t="s">
        <v>106</v>
      </c>
      <c r="I1032" t="s">
        <v>15</v>
      </c>
      <c r="J1032" t="s">
        <v>15</v>
      </c>
      <c r="K1032" t="s">
        <v>15</v>
      </c>
      <c r="L1032" t="s">
        <v>549</v>
      </c>
      <c r="M1032" t="s">
        <v>919</v>
      </c>
      <c r="O1032">
        <v>109</v>
      </c>
      <c r="FP1032">
        <v>1</v>
      </c>
      <c r="FQ1032">
        <v>1</v>
      </c>
    </row>
    <row r="1033" spans="1:173" x14ac:dyDescent="0.25">
      <c r="A1033" t="s">
        <v>31</v>
      </c>
      <c r="B1033" t="s">
        <v>32</v>
      </c>
      <c r="C1033" s="3">
        <v>19.059999999999999</v>
      </c>
      <c r="D1033" s="3">
        <v>72.88</v>
      </c>
      <c r="E1033" t="s">
        <v>12</v>
      </c>
      <c r="F1033" t="s">
        <v>22</v>
      </c>
      <c r="G1033" t="s">
        <v>106</v>
      </c>
      <c r="I1033" t="s">
        <v>15</v>
      </c>
      <c r="J1033" t="s">
        <v>15</v>
      </c>
      <c r="K1033" t="s">
        <v>15</v>
      </c>
      <c r="L1033" t="s">
        <v>549</v>
      </c>
      <c r="M1033" t="s">
        <v>919</v>
      </c>
      <c r="O1033">
        <v>65</v>
      </c>
      <c r="FG1033">
        <v>1</v>
      </c>
      <c r="FH1033">
        <v>1</v>
      </c>
      <c r="FI1033">
        <v>1</v>
      </c>
    </row>
    <row r="1034" spans="1:173" x14ac:dyDescent="0.25">
      <c r="A1034" t="s">
        <v>31</v>
      </c>
      <c r="B1034" t="s">
        <v>32</v>
      </c>
      <c r="C1034" s="3">
        <v>19.059999999999999</v>
      </c>
      <c r="D1034" s="3">
        <v>72.88</v>
      </c>
      <c r="E1034" t="s">
        <v>12</v>
      </c>
      <c r="F1034" t="s">
        <v>22</v>
      </c>
      <c r="G1034" t="s">
        <v>106</v>
      </c>
      <c r="I1034" t="s">
        <v>15</v>
      </c>
      <c r="J1034" t="s">
        <v>15</v>
      </c>
      <c r="K1034" t="s">
        <v>15</v>
      </c>
      <c r="L1034" t="s">
        <v>549</v>
      </c>
      <c r="M1034" t="s">
        <v>919</v>
      </c>
      <c r="O1034">
        <v>101</v>
      </c>
      <c r="FN1034">
        <v>1</v>
      </c>
      <c r="FO1034">
        <v>1</v>
      </c>
    </row>
    <row r="1035" spans="1:173" x14ac:dyDescent="0.25">
      <c r="A1035" t="s">
        <v>31</v>
      </c>
      <c r="B1035" t="s">
        <v>32</v>
      </c>
      <c r="C1035" s="3">
        <v>19.059999999999999</v>
      </c>
      <c r="D1035" s="3">
        <v>72.88</v>
      </c>
      <c r="E1035" t="s">
        <v>12</v>
      </c>
      <c r="F1035" t="s">
        <v>22</v>
      </c>
      <c r="G1035" t="s">
        <v>106</v>
      </c>
      <c r="I1035" t="s">
        <v>15</v>
      </c>
      <c r="J1035" t="s">
        <v>15</v>
      </c>
      <c r="K1035" t="s">
        <v>15</v>
      </c>
      <c r="L1035" t="s">
        <v>549</v>
      </c>
      <c r="M1035" t="s">
        <v>919</v>
      </c>
      <c r="O1035">
        <v>117</v>
      </c>
      <c r="FP1035">
        <v>1</v>
      </c>
      <c r="FQ1035">
        <v>1</v>
      </c>
    </row>
    <row r="1036" spans="1:173" x14ac:dyDescent="0.25">
      <c r="A1036" t="s">
        <v>31</v>
      </c>
      <c r="B1036" t="s">
        <v>32</v>
      </c>
      <c r="C1036" s="3">
        <v>19.059999999999999</v>
      </c>
      <c r="D1036" s="3">
        <v>72.88</v>
      </c>
      <c r="E1036" t="s">
        <v>12</v>
      </c>
      <c r="F1036" t="s">
        <v>21</v>
      </c>
      <c r="G1036" t="s">
        <v>106</v>
      </c>
      <c r="I1036" t="s">
        <v>15</v>
      </c>
      <c r="J1036" t="s">
        <v>15</v>
      </c>
      <c r="K1036" t="s">
        <v>15</v>
      </c>
      <c r="L1036" t="s">
        <v>549</v>
      </c>
      <c r="M1036" t="s">
        <v>919</v>
      </c>
      <c r="O1036">
        <v>47</v>
      </c>
      <c r="FG1036">
        <v>1</v>
      </c>
      <c r="FH1036">
        <v>1</v>
      </c>
      <c r="FI1036">
        <v>1</v>
      </c>
    </row>
    <row r="1037" spans="1:173" x14ac:dyDescent="0.25">
      <c r="A1037" t="s">
        <v>31</v>
      </c>
      <c r="B1037" t="s">
        <v>32</v>
      </c>
      <c r="C1037" s="3">
        <v>19.059999999999999</v>
      </c>
      <c r="D1037" s="3">
        <v>72.88</v>
      </c>
      <c r="E1037" t="s">
        <v>12</v>
      </c>
      <c r="F1037" t="s">
        <v>21</v>
      </c>
      <c r="G1037" t="s">
        <v>106</v>
      </c>
      <c r="I1037" t="s">
        <v>15</v>
      </c>
      <c r="J1037" t="s">
        <v>15</v>
      </c>
      <c r="K1037" t="s">
        <v>15</v>
      </c>
      <c r="L1037" t="s">
        <v>549</v>
      </c>
      <c r="M1037" t="s">
        <v>919</v>
      </c>
      <c r="O1037">
        <v>103</v>
      </c>
      <c r="FN1037">
        <v>1</v>
      </c>
      <c r="FO1037">
        <v>1</v>
      </c>
    </row>
    <row r="1038" spans="1:173" x14ac:dyDescent="0.25">
      <c r="A1038" t="s">
        <v>31</v>
      </c>
      <c r="B1038" t="s">
        <v>32</v>
      </c>
      <c r="C1038" s="3">
        <v>19.059999999999999</v>
      </c>
      <c r="D1038" s="3">
        <v>72.88</v>
      </c>
      <c r="E1038" t="s">
        <v>12</v>
      </c>
      <c r="F1038" t="s">
        <v>21</v>
      </c>
      <c r="G1038" t="s">
        <v>106</v>
      </c>
      <c r="I1038" t="s">
        <v>15</v>
      </c>
      <c r="J1038" t="s">
        <v>15</v>
      </c>
      <c r="K1038" t="s">
        <v>15</v>
      </c>
      <c r="L1038" t="s">
        <v>549</v>
      </c>
      <c r="M1038" t="s">
        <v>919</v>
      </c>
      <c r="O1038">
        <v>115</v>
      </c>
      <c r="FP1038">
        <v>1</v>
      </c>
      <c r="FQ1038">
        <v>1</v>
      </c>
    </row>
    <row r="1039" spans="1:173" x14ac:dyDescent="0.25">
      <c r="A1039" t="s">
        <v>31</v>
      </c>
      <c r="B1039" t="s">
        <v>32</v>
      </c>
      <c r="C1039" s="3">
        <v>19</v>
      </c>
      <c r="D1039" s="3">
        <v>72.81</v>
      </c>
      <c r="E1039" t="s">
        <v>34</v>
      </c>
      <c r="F1039" t="s">
        <v>34</v>
      </c>
      <c r="G1039" t="s">
        <v>106</v>
      </c>
      <c r="I1039" t="s">
        <v>12</v>
      </c>
      <c r="J1039" t="s">
        <v>15</v>
      </c>
      <c r="K1039" t="s">
        <v>15</v>
      </c>
      <c r="L1039" t="s">
        <v>504</v>
      </c>
      <c r="M1039" t="s">
        <v>946</v>
      </c>
      <c r="O1039">
        <f>AVERAGE(67,66,72,25)</f>
        <v>57.5</v>
      </c>
      <c r="DL1039">
        <v>1</v>
      </c>
      <c r="DM1039">
        <v>1</v>
      </c>
      <c r="DW1039">
        <v>1</v>
      </c>
    </row>
    <row r="1040" spans="1:173" x14ac:dyDescent="0.25">
      <c r="A1040" t="s">
        <v>31</v>
      </c>
      <c r="B1040" t="s">
        <v>32</v>
      </c>
      <c r="C1040" s="3">
        <v>19</v>
      </c>
      <c r="D1040" s="3">
        <v>72.81</v>
      </c>
      <c r="E1040" t="s">
        <v>34</v>
      </c>
      <c r="F1040" t="s">
        <v>34</v>
      </c>
      <c r="G1040" t="s">
        <v>106</v>
      </c>
      <c r="I1040" t="s">
        <v>12</v>
      </c>
      <c r="J1040" t="s">
        <v>15</v>
      </c>
      <c r="K1040" t="s">
        <v>15</v>
      </c>
      <c r="L1040" t="s">
        <v>504</v>
      </c>
      <c r="M1040" t="s">
        <v>946</v>
      </c>
      <c r="O1040">
        <f>AVERAGE(23,23,19,16)</f>
        <v>20.25</v>
      </c>
      <c r="DN1040">
        <v>1</v>
      </c>
      <c r="DO1040">
        <v>1</v>
      </c>
      <c r="DP1040">
        <v>1</v>
      </c>
      <c r="DQ1040">
        <v>1</v>
      </c>
    </row>
    <row r="1041" spans="1:142" x14ac:dyDescent="0.25">
      <c r="A1041" t="s">
        <v>31</v>
      </c>
      <c r="B1041" t="s">
        <v>32</v>
      </c>
      <c r="C1041" s="3">
        <v>19</v>
      </c>
      <c r="D1041" s="3">
        <v>72.81</v>
      </c>
      <c r="E1041" t="s">
        <v>34</v>
      </c>
      <c r="F1041" t="s">
        <v>34</v>
      </c>
      <c r="G1041" t="s">
        <v>106</v>
      </c>
      <c r="I1041" t="s">
        <v>12</v>
      </c>
      <c r="J1041" t="s">
        <v>15</v>
      </c>
      <c r="K1041" t="s">
        <v>15</v>
      </c>
      <c r="L1041" t="s">
        <v>504</v>
      </c>
      <c r="M1041" t="s">
        <v>946</v>
      </c>
      <c r="O1041">
        <f>AVERAGE(119,178,167,103)</f>
        <v>141.75</v>
      </c>
      <c r="DS1041">
        <v>1</v>
      </c>
      <c r="DT1041">
        <v>1</v>
      </c>
      <c r="DU1041">
        <v>1</v>
      </c>
    </row>
    <row r="1042" spans="1:142" x14ac:dyDescent="0.25">
      <c r="A1042" t="s">
        <v>31</v>
      </c>
      <c r="B1042" t="s">
        <v>32</v>
      </c>
      <c r="C1042" s="3">
        <v>19</v>
      </c>
      <c r="D1042" s="3">
        <v>72.81</v>
      </c>
      <c r="E1042" t="s">
        <v>34</v>
      </c>
      <c r="F1042" t="s">
        <v>77</v>
      </c>
      <c r="G1042" t="s">
        <v>106</v>
      </c>
      <c r="I1042" t="s">
        <v>12</v>
      </c>
      <c r="J1042" t="s">
        <v>15</v>
      </c>
      <c r="K1042" t="s">
        <v>15</v>
      </c>
      <c r="L1042" t="s">
        <v>504</v>
      </c>
      <c r="M1042" t="s">
        <v>946</v>
      </c>
      <c r="O1042">
        <f>AVERAGE(39,45,22,20)</f>
        <v>31.5</v>
      </c>
      <c r="DL1042">
        <v>1</v>
      </c>
      <c r="DM1042">
        <v>1</v>
      </c>
      <c r="DW1042">
        <v>1</v>
      </c>
    </row>
    <row r="1043" spans="1:142" x14ac:dyDescent="0.25">
      <c r="A1043" t="s">
        <v>31</v>
      </c>
      <c r="B1043" t="s">
        <v>32</v>
      </c>
      <c r="C1043" s="3">
        <v>19</v>
      </c>
      <c r="D1043" s="3">
        <v>72.81</v>
      </c>
      <c r="E1043" t="s">
        <v>34</v>
      </c>
      <c r="F1043" t="s">
        <v>77</v>
      </c>
      <c r="G1043" t="s">
        <v>106</v>
      </c>
      <c r="I1043" t="s">
        <v>12</v>
      </c>
      <c r="J1043" t="s">
        <v>15</v>
      </c>
      <c r="K1043" t="s">
        <v>15</v>
      </c>
      <c r="L1043" t="s">
        <v>504</v>
      </c>
      <c r="M1043" t="s">
        <v>946</v>
      </c>
      <c r="O1043">
        <f>AVERAGE(22,21,16,18)</f>
        <v>19.25</v>
      </c>
      <c r="DN1043">
        <v>1</v>
      </c>
      <c r="DO1043">
        <v>1</v>
      </c>
      <c r="DP1043">
        <v>1</v>
      </c>
      <c r="DQ1043">
        <v>1</v>
      </c>
    </row>
    <row r="1044" spans="1:142" x14ac:dyDescent="0.25">
      <c r="A1044" t="s">
        <v>31</v>
      </c>
      <c r="B1044" t="s">
        <v>32</v>
      </c>
      <c r="C1044" s="3">
        <v>19</v>
      </c>
      <c r="D1044" s="3">
        <v>72.81</v>
      </c>
      <c r="E1044" t="s">
        <v>34</v>
      </c>
      <c r="F1044" t="s">
        <v>77</v>
      </c>
      <c r="G1044" t="s">
        <v>106</v>
      </c>
      <c r="I1044" t="s">
        <v>12</v>
      </c>
      <c r="J1044" t="s">
        <v>15</v>
      </c>
      <c r="K1044" t="s">
        <v>15</v>
      </c>
      <c r="L1044" t="s">
        <v>504</v>
      </c>
      <c r="M1044" t="s">
        <v>946</v>
      </c>
      <c r="O1044">
        <f>AVERAGE(92,88,90,73)</f>
        <v>85.75</v>
      </c>
      <c r="DS1044">
        <v>1</v>
      </c>
      <c r="DT1044">
        <v>1</v>
      </c>
      <c r="DU1044">
        <v>1</v>
      </c>
    </row>
    <row r="1045" spans="1:142" x14ac:dyDescent="0.25">
      <c r="A1045" t="s">
        <v>31</v>
      </c>
      <c r="B1045" t="s">
        <v>32</v>
      </c>
      <c r="C1045" s="3">
        <v>19.07</v>
      </c>
      <c r="D1045" s="3">
        <v>72.87</v>
      </c>
      <c r="E1045" t="s">
        <v>12</v>
      </c>
      <c r="F1045" t="s">
        <v>34</v>
      </c>
      <c r="G1045" t="s">
        <v>106</v>
      </c>
      <c r="I1045" t="s">
        <v>12</v>
      </c>
      <c r="J1045" t="s">
        <v>12</v>
      </c>
      <c r="K1045" t="s">
        <v>12</v>
      </c>
      <c r="L1045" t="s">
        <v>501</v>
      </c>
      <c r="M1045" t="s">
        <v>947</v>
      </c>
      <c r="O1045">
        <v>69</v>
      </c>
      <c r="CV1045">
        <v>1</v>
      </c>
      <c r="CW1045">
        <v>1</v>
      </c>
    </row>
    <row r="1046" spans="1:142" x14ac:dyDescent="0.25">
      <c r="A1046" t="s">
        <v>31</v>
      </c>
      <c r="B1046" t="s">
        <v>32</v>
      </c>
      <c r="C1046" s="3">
        <v>19.07</v>
      </c>
      <c r="D1046" s="3">
        <v>72.87</v>
      </c>
      <c r="E1046" t="s">
        <v>12</v>
      </c>
      <c r="F1046" t="s">
        <v>77</v>
      </c>
      <c r="G1046" t="s">
        <v>106</v>
      </c>
      <c r="I1046" t="s">
        <v>12</v>
      </c>
      <c r="J1046" t="s">
        <v>12</v>
      </c>
      <c r="K1046" t="s">
        <v>12</v>
      </c>
      <c r="L1046" t="s">
        <v>501</v>
      </c>
      <c r="M1046" t="s">
        <v>947</v>
      </c>
      <c r="O1046">
        <v>43</v>
      </c>
      <c r="CV1046">
        <v>1</v>
      </c>
      <c r="CW1046">
        <v>1</v>
      </c>
    </row>
    <row r="1047" spans="1:142" x14ac:dyDescent="0.25">
      <c r="A1047" t="s">
        <v>31</v>
      </c>
      <c r="B1047" t="s">
        <v>32</v>
      </c>
      <c r="C1047" s="3">
        <v>19</v>
      </c>
      <c r="D1047" s="3">
        <v>72.81</v>
      </c>
      <c r="E1047" t="s">
        <v>34</v>
      </c>
      <c r="F1047" t="s">
        <v>77</v>
      </c>
      <c r="G1047" t="s">
        <v>106</v>
      </c>
      <c r="I1047" t="s">
        <v>15</v>
      </c>
      <c r="J1047" t="s">
        <v>15</v>
      </c>
      <c r="K1047" t="s">
        <v>12</v>
      </c>
      <c r="L1047" t="s">
        <v>503</v>
      </c>
      <c r="M1047" t="s">
        <v>1106</v>
      </c>
      <c r="O1047">
        <v>36</v>
      </c>
      <c r="CM1047">
        <v>1</v>
      </c>
      <c r="CN1047">
        <v>1</v>
      </c>
    </row>
    <row r="1048" spans="1:142" x14ac:dyDescent="0.25">
      <c r="A1048" t="s">
        <v>31</v>
      </c>
      <c r="B1048" t="s">
        <v>32</v>
      </c>
      <c r="C1048" s="3">
        <v>19</v>
      </c>
      <c r="D1048" s="3">
        <v>72.81</v>
      </c>
      <c r="E1048" t="s">
        <v>34</v>
      </c>
      <c r="F1048" t="s">
        <v>77</v>
      </c>
      <c r="G1048" t="s">
        <v>106</v>
      </c>
      <c r="I1048" t="s">
        <v>15</v>
      </c>
      <c r="J1048" t="s">
        <v>15</v>
      </c>
      <c r="K1048" t="s">
        <v>12</v>
      </c>
      <c r="L1048" t="s">
        <v>503</v>
      </c>
      <c r="M1048" t="s">
        <v>1106</v>
      </c>
      <c r="O1048">
        <v>21</v>
      </c>
      <c r="CP1048">
        <v>1</v>
      </c>
      <c r="CQ1048">
        <v>1</v>
      </c>
    </row>
    <row r="1049" spans="1:142" x14ac:dyDescent="0.25">
      <c r="A1049" t="s">
        <v>31</v>
      </c>
      <c r="B1049" t="s">
        <v>32</v>
      </c>
      <c r="C1049" s="3">
        <v>19</v>
      </c>
      <c r="D1049" s="3">
        <v>72.81</v>
      </c>
      <c r="E1049" t="s">
        <v>34</v>
      </c>
      <c r="F1049" t="s">
        <v>77</v>
      </c>
      <c r="G1049" t="s">
        <v>106</v>
      </c>
      <c r="I1049" t="s">
        <v>15</v>
      </c>
      <c r="J1049" t="s">
        <v>15</v>
      </c>
      <c r="K1049" t="s">
        <v>12</v>
      </c>
      <c r="L1049" t="s">
        <v>503</v>
      </c>
      <c r="M1049" t="s">
        <v>1106</v>
      </c>
      <c r="O1049">
        <v>64</v>
      </c>
      <c r="CT1049">
        <v>1</v>
      </c>
      <c r="CU1049">
        <v>1</v>
      </c>
    </row>
    <row r="1050" spans="1:142" x14ac:dyDescent="0.25">
      <c r="A1050" t="s">
        <v>31</v>
      </c>
      <c r="B1050" t="s">
        <v>32</v>
      </c>
      <c r="C1050" s="3">
        <v>19</v>
      </c>
      <c r="D1050" s="3">
        <v>72.81</v>
      </c>
      <c r="E1050" t="s">
        <v>34</v>
      </c>
      <c r="F1050" t="s">
        <v>77</v>
      </c>
      <c r="G1050" t="s">
        <v>106</v>
      </c>
      <c r="I1050" t="s">
        <v>15</v>
      </c>
      <c r="J1050" t="s">
        <v>15</v>
      </c>
      <c r="K1050" t="s">
        <v>12</v>
      </c>
      <c r="L1050" t="s">
        <v>503</v>
      </c>
      <c r="M1050" t="s">
        <v>1106</v>
      </c>
      <c r="O1050">
        <v>89</v>
      </c>
      <c r="CV1050">
        <v>1</v>
      </c>
      <c r="CW1050">
        <v>1</v>
      </c>
    </row>
    <row r="1051" spans="1:142" x14ac:dyDescent="0.25">
      <c r="A1051" t="s">
        <v>125</v>
      </c>
      <c r="B1051" t="s">
        <v>32</v>
      </c>
      <c r="C1051" s="3">
        <v>19.079999999999998</v>
      </c>
      <c r="D1051" s="3">
        <v>73</v>
      </c>
      <c r="E1051" t="s">
        <v>12</v>
      </c>
      <c r="F1051" t="s">
        <v>21</v>
      </c>
      <c r="G1051" t="s">
        <v>106</v>
      </c>
      <c r="I1051" t="s">
        <v>15</v>
      </c>
      <c r="J1051" t="s">
        <v>12</v>
      </c>
      <c r="K1051" t="s">
        <v>15</v>
      </c>
      <c r="L1051" t="s">
        <v>513</v>
      </c>
      <c r="M1051" t="s">
        <v>939</v>
      </c>
      <c r="N1051" t="s">
        <v>514</v>
      </c>
      <c r="O1051">
        <v>43</v>
      </c>
      <c r="EG1051">
        <v>1</v>
      </c>
    </row>
    <row r="1052" spans="1:142" x14ac:dyDescent="0.25">
      <c r="A1052" t="s">
        <v>125</v>
      </c>
      <c r="B1052" t="s">
        <v>32</v>
      </c>
      <c r="C1052" s="3">
        <v>19.079999999999998</v>
      </c>
      <c r="D1052" s="3">
        <v>73</v>
      </c>
      <c r="E1052" t="s">
        <v>12</v>
      </c>
      <c r="F1052" t="s">
        <v>21</v>
      </c>
      <c r="G1052" t="s">
        <v>106</v>
      </c>
      <c r="I1052" t="s">
        <v>15</v>
      </c>
      <c r="J1052" t="s">
        <v>12</v>
      </c>
      <c r="K1052" t="s">
        <v>15</v>
      </c>
      <c r="L1052" t="s">
        <v>513</v>
      </c>
      <c r="M1052" t="s">
        <v>939</v>
      </c>
      <c r="N1052" t="s">
        <v>514</v>
      </c>
      <c r="O1052">
        <v>54</v>
      </c>
      <c r="EH1052">
        <v>1</v>
      </c>
    </row>
    <row r="1053" spans="1:142" x14ac:dyDescent="0.25">
      <c r="A1053" t="s">
        <v>125</v>
      </c>
      <c r="B1053" t="s">
        <v>32</v>
      </c>
      <c r="C1053" s="3">
        <v>19.079999999999998</v>
      </c>
      <c r="D1053" s="3">
        <v>73</v>
      </c>
      <c r="E1053" t="s">
        <v>12</v>
      </c>
      <c r="F1053" t="s">
        <v>21</v>
      </c>
      <c r="G1053" t="s">
        <v>106</v>
      </c>
      <c r="I1053" t="s">
        <v>15</v>
      </c>
      <c r="J1053" t="s">
        <v>12</v>
      </c>
      <c r="K1053" t="s">
        <v>15</v>
      </c>
      <c r="L1053" t="s">
        <v>513</v>
      </c>
      <c r="M1053" t="s">
        <v>939</v>
      </c>
      <c r="N1053" t="s">
        <v>514</v>
      </c>
      <c r="O1053">
        <v>35</v>
      </c>
      <c r="EI1053">
        <v>1</v>
      </c>
    </row>
    <row r="1054" spans="1:142" x14ac:dyDescent="0.25">
      <c r="A1054" t="s">
        <v>125</v>
      </c>
      <c r="B1054" t="s">
        <v>32</v>
      </c>
      <c r="C1054" s="3">
        <v>19.079999999999998</v>
      </c>
      <c r="D1054" s="3">
        <v>73</v>
      </c>
      <c r="E1054" t="s">
        <v>12</v>
      </c>
      <c r="F1054" t="s">
        <v>21</v>
      </c>
      <c r="G1054" t="s">
        <v>106</v>
      </c>
      <c r="I1054" t="s">
        <v>15</v>
      </c>
      <c r="J1054" t="s">
        <v>12</v>
      </c>
      <c r="K1054" t="s">
        <v>15</v>
      </c>
      <c r="L1054" t="s">
        <v>513</v>
      </c>
      <c r="M1054" t="s">
        <v>939</v>
      </c>
      <c r="N1054" t="s">
        <v>514</v>
      </c>
      <c r="O1054">
        <v>35</v>
      </c>
      <c r="EJ1054">
        <v>1</v>
      </c>
    </row>
    <row r="1055" spans="1:142" x14ac:dyDescent="0.25">
      <c r="A1055" t="s">
        <v>125</v>
      </c>
      <c r="B1055" t="s">
        <v>32</v>
      </c>
      <c r="C1055" s="3">
        <v>19.079999999999998</v>
      </c>
      <c r="D1055" s="3">
        <v>73</v>
      </c>
      <c r="E1055" t="s">
        <v>12</v>
      </c>
      <c r="F1055" t="s">
        <v>21</v>
      </c>
      <c r="G1055" t="s">
        <v>106</v>
      </c>
      <c r="I1055" t="s">
        <v>15</v>
      </c>
      <c r="J1055" t="s">
        <v>12</v>
      </c>
      <c r="K1055" t="s">
        <v>15</v>
      </c>
      <c r="L1055" t="s">
        <v>513</v>
      </c>
      <c r="M1055" t="s">
        <v>939</v>
      </c>
      <c r="N1055" t="s">
        <v>514</v>
      </c>
      <c r="O1055">
        <v>28</v>
      </c>
      <c r="EK1055">
        <v>1</v>
      </c>
    </row>
    <row r="1056" spans="1:142" x14ac:dyDescent="0.25">
      <c r="A1056" t="s">
        <v>125</v>
      </c>
      <c r="B1056" t="s">
        <v>32</v>
      </c>
      <c r="C1056" s="3">
        <v>19.079999999999998</v>
      </c>
      <c r="D1056" s="3">
        <v>73</v>
      </c>
      <c r="E1056" t="s">
        <v>12</v>
      </c>
      <c r="F1056" t="s">
        <v>21</v>
      </c>
      <c r="G1056" t="s">
        <v>106</v>
      </c>
      <c r="I1056" t="s">
        <v>15</v>
      </c>
      <c r="J1056" t="s">
        <v>12</v>
      </c>
      <c r="K1056" t="s">
        <v>15</v>
      </c>
      <c r="L1056" t="s">
        <v>513</v>
      </c>
      <c r="M1056" t="s">
        <v>939</v>
      </c>
      <c r="N1056" t="s">
        <v>514</v>
      </c>
      <c r="O1056">
        <v>18.5</v>
      </c>
      <c r="EL1056">
        <v>1</v>
      </c>
    </row>
    <row r="1057" spans="1:225" x14ac:dyDescent="0.25">
      <c r="A1057" t="s">
        <v>125</v>
      </c>
      <c r="B1057" t="s">
        <v>32</v>
      </c>
      <c r="C1057" s="3">
        <v>19.079999999999998</v>
      </c>
      <c r="D1057" s="3">
        <v>73</v>
      </c>
      <c r="E1057" t="s">
        <v>12</v>
      </c>
      <c r="F1057" t="s">
        <v>21</v>
      </c>
      <c r="G1057" t="s">
        <v>106</v>
      </c>
      <c r="I1057" t="s">
        <v>15</v>
      </c>
      <c r="J1057" t="s">
        <v>12</v>
      </c>
      <c r="K1057" t="s">
        <v>15</v>
      </c>
      <c r="L1057" t="s">
        <v>513</v>
      </c>
      <c r="M1057" t="s">
        <v>939</v>
      </c>
      <c r="N1057" t="s">
        <v>514</v>
      </c>
      <c r="O1057">
        <v>18</v>
      </c>
      <c r="EM1057">
        <v>1</v>
      </c>
    </row>
    <row r="1058" spans="1:225" x14ac:dyDescent="0.25">
      <c r="A1058" t="s">
        <v>125</v>
      </c>
      <c r="B1058" t="s">
        <v>32</v>
      </c>
      <c r="C1058" s="3">
        <v>19.079999999999998</v>
      </c>
      <c r="D1058" s="3">
        <v>73</v>
      </c>
      <c r="E1058" t="s">
        <v>12</v>
      </c>
      <c r="F1058" t="s">
        <v>21</v>
      </c>
      <c r="G1058" t="s">
        <v>106</v>
      </c>
      <c r="I1058" t="s">
        <v>15</v>
      </c>
      <c r="J1058" t="s">
        <v>12</v>
      </c>
      <c r="K1058" t="s">
        <v>15</v>
      </c>
      <c r="L1058" t="s">
        <v>513</v>
      </c>
      <c r="M1058" t="s">
        <v>939</v>
      </c>
      <c r="N1058" t="s">
        <v>514</v>
      </c>
      <c r="O1058">
        <v>19</v>
      </c>
      <c r="EN1058">
        <v>1</v>
      </c>
    </row>
    <row r="1059" spans="1:225" x14ac:dyDescent="0.25">
      <c r="A1059" t="s">
        <v>125</v>
      </c>
      <c r="B1059" t="s">
        <v>32</v>
      </c>
      <c r="C1059" s="3">
        <v>19.079999999999998</v>
      </c>
      <c r="D1059" s="3">
        <v>73</v>
      </c>
      <c r="E1059" t="s">
        <v>12</v>
      </c>
      <c r="F1059" t="s">
        <v>21</v>
      </c>
      <c r="G1059" t="s">
        <v>106</v>
      </c>
      <c r="I1059" t="s">
        <v>15</v>
      </c>
      <c r="J1059" t="s">
        <v>12</v>
      </c>
      <c r="K1059" t="s">
        <v>15</v>
      </c>
      <c r="L1059" t="s">
        <v>513</v>
      </c>
      <c r="M1059" t="s">
        <v>939</v>
      </c>
      <c r="N1059" t="s">
        <v>514</v>
      </c>
      <c r="O1059">
        <v>24</v>
      </c>
      <c r="EO1059">
        <v>1</v>
      </c>
    </row>
    <row r="1060" spans="1:225" x14ac:dyDescent="0.25">
      <c r="A1060" t="s">
        <v>125</v>
      </c>
      <c r="B1060" t="s">
        <v>32</v>
      </c>
      <c r="C1060" s="3">
        <v>19.079999999999998</v>
      </c>
      <c r="D1060" s="3">
        <v>73</v>
      </c>
      <c r="E1060" t="s">
        <v>12</v>
      </c>
      <c r="F1060" t="s">
        <v>21</v>
      </c>
      <c r="G1060" t="s">
        <v>106</v>
      </c>
      <c r="I1060" t="s">
        <v>15</v>
      </c>
      <c r="J1060" t="s">
        <v>12</v>
      </c>
      <c r="K1060" t="s">
        <v>15</v>
      </c>
      <c r="L1060" t="s">
        <v>513</v>
      </c>
      <c r="M1060" t="s">
        <v>939</v>
      </c>
      <c r="N1060" t="s">
        <v>514</v>
      </c>
      <c r="O1060">
        <v>34</v>
      </c>
      <c r="EP1060">
        <v>1</v>
      </c>
    </row>
    <row r="1061" spans="1:225" x14ac:dyDescent="0.25">
      <c r="A1061" t="s">
        <v>125</v>
      </c>
      <c r="B1061" t="s">
        <v>32</v>
      </c>
      <c r="C1061" s="3">
        <v>19.079999999999998</v>
      </c>
      <c r="D1061" s="3">
        <v>73</v>
      </c>
      <c r="E1061" t="s">
        <v>12</v>
      </c>
      <c r="F1061" t="s">
        <v>21</v>
      </c>
      <c r="G1061" t="s">
        <v>106</v>
      </c>
      <c r="I1061" t="s">
        <v>15</v>
      </c>
      <c r="J1061" t="s">
        <v>12</v>
      </c>
      <c r="K1061" t="s">
        <v>15</v>
      </c>
      <c r="L1061" t="s">
        <v>513</v>
      </c>
      <c r="M1061" t="s">
        <v>939</v>
      </c>
      <c r="N1061" t="s">
        <v>514</v>
      </c>
      <c r="O1061">
        <v>58</v>
      </c>
      <c r="EQ1061">
        <v>1</v>
      </c>
    </row>
    <row r="1062" spans="1:225" x14ac:dyDescent="0.25">
      <c r="A1062" t="s">
        <v>125</v>
      </c>
      <c r="B1062" t="s">
        <v>32</v>
      </c>
      <c r="C1062" s="3">
        <v>19.079999999999998</v>
      </c>
      <c r="D1062" s="3">
        <v>73</v>
      </c>
      <c r="E1062" t="s">
        <v>12</v>
      </c>
      <c r="F1062" t="s">
        <v>21</v>
      </c>
      <c r="G1062" t="s">
        <v>106</v>
      </c>
      <c r="I1062" t="s">
        <v>15</v>
      </c>
      <c r="J1062" t="s">
        <v>12</v>
      </c>
      <c r="K1062" t="s">
        <v>15</v>
      </c>
      <c r="L1062" t="s">
        <v>513</v>
      </c>
      <c r="M1062" t="s">
        <v>939</v>
      </c>
      <c r="N1062" t="s">
        <v>514</v>
      </c>
      <c r="O1062">
        <v>56</v>
      </c>
      <c r="ER1062">
        <v>1</v>
      </c>
    </row>
    <row r="1063" spans="1:225" x14ac:dyDescent="0.25">
      <c r="A1063" t="s">
        <v>125</v>
      </c>
      <c r="B1063" t="s">
        <v>32</v>
      </c>
      <c r="C1063" s="3">
        <v>19.077000000000002</v>
      </c>
      <c r="D1063" s="3">
        <v>72.989999999999995</v>
      </c>
      <c r="E1063" t="s">
        <v>34</v>
      </c>
      <c r="F1063" t="s">
        <v>21</v>
      </c>
      <c r="G1063" t="s">
        <v>106</v>
      </c>
      <c r="H1063">
        <v>50</v>
      </c>
      <c r="I1063" t="s">
        <v>12</v>
      </c>
      <c r="J1063" t="s">
        <v>12</v>
      </c>
      <c r="K1063" t="s">
        <v>15</v>
      </c>
      <c r="L1063" t="s">
        <v>124</v>
      </c>
      <c r="M1063" t="s">
        <v>940</v>
      </c>
      <c r="O1063">
        <v>42</v>
      </c>
      <c r="P1063">
        <v>11</v>
      </c>
      <c r="FQ1063">
        <v>1</v>
      </c>
      <c r="FR1063">
        <v>1</v>
      </c>
      <c r="FS1063">
        <v>1</v>
      </c>
      <c r="FT1063">
        <v>1</v>
      </c>
      <c r="FU1063">
        <v>1</v>
      </c>
      <c r="FV1063">
        <v>1</v>
      </c>
      <c r="FW1063">
        <v>1</v>
      </c>
      <c r="FX1063">
        <v>1</v>
      </c>
      <c r="FY1063">
        <v>1</v>
      </c>
      <c r="FZ1063">
        <v>1</v>
      </c>
      <c r="GA1063">
        <v>1</v>
      </c>
      <c r="GB1063">
        <v>1</v>
      </c>
    </row>
    <row r="1064" spans="1:225" x14ac:dyDescent="0.25">
      <c r="A1064" t="s">
        <v>693</v>
      </c>
      <c r="B1064" t="s">
        <v>32</v>
      </c>
      <c r="C1064" s="3">
        <v>28.63</v>
      </c>
      <c r="D1064" s="3">
        <v>77.22</v>
      </c>
      <c r="E1064" t="s">
        <v>12</v>
      </c>
      <c r="F1064" t="s">
        <v>34</v>
      </c>
      <c r="G1064" t="s">
        <v>694</v>
      </c>
      <c r="I1064" t="s">
        <v>15</v>
      </c>
      <c r="J1064" t="s">
        <v>12</v>
      </c>
      <c r="K1064" t="s">
        <v>12</v>
      </c>
      <c r="L1064" t="s">
        <v>745</v>
      </c>
      <c r="M1064" t="s">
        <v>799</v>
      </c>
      <c r="O1064">
        <v>200</v>
      </c>
      <c r="P1064">
        <v>46</v>
      </c>
      <c r="GP1064">
        <v>1</v>
      </c>
      <c r="GQ1064">
        <v>1</v>
      </c>
      <c r="GR1064">
        <v>1</v>
      </c>
      <c r="GS1064">
        <v>1</v>
      </c>
    </row>
    <row r="1065" spans="1:225" x14ac:dyDescent="0.25">
      <c r="A1065" t="s">
        <v>693</v>
      </c>
      <c r="B1065" t="s">
        <v>32</v>
      </c>
      <c r="C1065" s="3">
        <v>28.6</v>
      </c>
      <c r="D1065" s="3">
        <v>77.27</v>
      </c>
      <c r="E1065" t="s">
        <v>12</v>
      </c>
      <c r="F1065" t="s">
        <v>77</v>
      </c>
      <c r="G1065" t="s">
        <v>706</v>
      </c>
      <c r="I1065" t="s">
        <v>15</v>
      </c>
      <c r="J1065" t="s">
        <v>12</v>
      </c>
      <c r="K1065" t="s">
        <v>12</v>
      </c>
      <c r="L1065" t="s">
        <v>754</v>
      </c>
      <c r="M1065" t="s">
        <v>812</v>
      </c>
      <c r="O1065">
        <v>112.1</v>
      </c>
      <c r="P1065">
        <v>56</v>
      </c>
      <c r="GW1065">
        <v>0.25</v>
      </c>
      <c r="GX1065">
        <v>1</v>
      </c>
    </row>
    <row r="1066" spans="1:225" x14ac:dyDescent="0.25">
      <c r="A1066" t="s">
        <v>122</v>
      </c>
      <c r="B1066" t="s">
        <v>32</v>
      </c>
      <c r="C1066" s="3">
        <v>18.552</v>
      </c>
      <c r="D1066" s="3">
        <v>73.822999999999993</v>
      </c>
      <c r="E1066" t="s">
        <v>15</v>
      </c>
      <c r="F1066" t="s">
        <v>77</v>
      </c>
      <c r="G1066" t="s">
        <v>106</v>
      </c>
      <c r="I1066" t="s">
        <v>12</v>
      </c>
      <c r="J1066" t="s">
        <v>12</v>
      </c>
      <c r="K1066" t="s">
        <v>15</v>
      </c>
      <c r="L1066" t="s">
        <v>123</v>
      </c>
      <c r="M1066" t="s">
        <v>1112</v>
      </c>
      <c r="O1066">
        <v>72.3</v>
      </c>
      <c r="P1066">
        <v>31.3</v>
      </c>
      <c r="HF1066">
        <v>1</v>
      </c>
      <c r="HG1066">
        <v>1</v>
      </c>
      <c r="HH1066">
        <v>1</v>
      </c>
      <c r="HI1066">
        <v>1</v>
      </c>
      <c r="HJ1066">
        <v>1</v>
      </c>
      <c r="HK1066">
        <v>1</v>
      </c>
      <c r="HL1066">
        <v>1</v>
      </c>
      <c r="HM1066">
        <v>1</v>
      </c>
      <c r="HN1066">
        <v>1</v>
      </c>
      <c r="HO1066">
        <v>1</v>
      </c>
      <c r="HP1066">
        <v>1</v>
      </c>
      <c r="HQ1066">
        <v>1</v>
      </c>
    </row>
    <row r="1067" spans="1:225" x14ac:dyDescent="0.25">
      <c r="A1067" t="s">
        <v>698</v>
      </c>
      <c r="B1067" t="s">
        <v>32</v>
      </c>
      <c r="C1067" s="3">
        <v>30.21</v>
      </c>
      <c r="D1067" s="3">
        <v>76.27</v>
      </c>
      <c r="E1067" t="s">
        <v>15</v>
      </c>
      <c r="F1067" t="s">
        <v>20</v>
      </c>
      <c r="G1067" t="s">
        <v>699</v>
      </c>
      <c r="I1067" t="s">
        <v>12</v>
      </c>
      <c r="J1067" t="s">
        <v>12</v>
      </c>
      <c r="K1067" t="s">
        <v>12</v>
      </c>
      <c r="L1067" t="s">
        <v>747</v>
      </c>
      <c r="M1067" t="s">
        <v>802</v>
      </c>
      <c r="O1067">
        <v>57</v>
      </c>
      <c r="P1067">
        <v>15</v>
      </c>
      <c r="FL1067">
        <v>1</v>
      </c>
      <c r="FM1067">
        <v>1</v>
      </c>
      <c r="FN1067">
        <v>1</v>
      </c>
      <c r="FO1067">
        <v>1</v>
      </c>
      <c r="FP1067">
        <v>1</v>
      </c>
      <c r="FQ1067">
        <v>1</v>
      </c>
      <c r="FR1067">
        <v>1</v>
      </c>
      <c r="FS1067">
        <v>1</v>
      </c>
      <c r="FT1067">
        <v>1</v>
      </c>
      <c r="FU1067">
        <v>1</v>
      </c>
      <c r="FV1067">
        <v>1</v>
      </c>
      <c r="FW1067">
        <v>1</v>
      </c>
      <c r="FX1067">
        <v>1</v>
      </c>
      <c r="FY1067">
        <v>1</v>
      </c>
      <c r="FZ1067">
        <v>1</v>
      </c>
      <c r="GA1067">
        <v>1</v>
      </c>
      <c r="GB1067">
        <v>1</v>
      </c>
      <c r="GC1067">
        <v>1</v>
      </c>
      <c r="GD1067">
        <v>1</v>
      </c>
      <c r="GE1067">
        <v>1</v>
      </c>
      <c r="GF1067">
        <v>1</v>
      </c>
      <c r="GG1067">
        <v>1</v>
      </c>
      <c r="GH1067">
        <v>1</v>
      </c>
      <c r="GI1067">
        <v>1</v>
      </c>
      <c r="GJ1067">
        <v>1</v>
      </c>
      <c r="GK1067">
        <v>1</v>
      </c>
      <c r="GL1067">
        <v>1</v>
      </c>
      <c r="GM1067">
        <v>1</v>
      </c>
      <c r="GN1067">
        <v>1</v>
      </c>
      <c r="GO1067">
        <v>1</v>
      </c>
    </row>
    <row r="1068" spans="1:225" x14ac:dyDescent="0.25">
      <c r="A1068" t="s">
        <v>660</v>
      </c>
      <c r="B1068" t="s">
        <v>32</v>
      </c>
      <c r="C1068" s="3">
        <v>21.24</v>
      </c>
      <c r="D1068" s="3">
        <v>81.59</v>
      </c>
      <c r="E1068" t="s">
        <v>12</v>
      </c>
      <c r="F1068" t="s">
        <v>22</v>
      </c>
      <c r="G1068" t="s">
        <v>106</v>
      </c>
      <c r="H1068">
        <v>40</v>
      </c>
      <c r="I1068" t="s">
        <v>12</v>
      </c>
      <c r="J1068" t="s">
        <v>15</v>
      </c>
      <c r="K1068" t="s">
        <v>15</v>
      </c>
      <c r="L1068" t="s">
        <v>663</v>
      </c>
      <c r="M1068" t="s">
        <v>855</v>
      </c>
      <c r="O1068">
        <f>268.2</f>
        <v>268.2</v>
      </c>
      <c r="P1068">
        <v>27</v>
      </c>
      <c r="FZ1068">
        <v>1</v>
      </c>
      <c r="GA1068">
        <v>1</v>
      </c>
      <c r="GB1068">
        <v>1</v>
      </c>
      <c r="GC1068">
        <v>1</v>
      </c>
    </row>
    <row r="1069" spans="1:225" x14ac:dyDescent="0.25">
      <c r="A1069" t="s">
        <v>660</v>
      </c>
      <c r="B1069" t="s">
        <v>32</v>
      </c>
      <c r="C1069" s="3">
        <v>21.24</v>
      </c>
      <c r="D1069" s="3">
        <v>81.59</v>
      </c>
      <c r="E1069" t="s">
        <v>12</v>
      </c>
      <c r="F1069" t="s">
        <v>22</v>
      </c>
      <c r="G1069" t="s">
        <v>106</v>
      </c>
      <c r="H1069">
        <v>40</v>
      </c>
      <c r="I1069" t="s">
        <v>12</v>
      </c>
      <c r="J1069" t="s">
        <v>15</v>
      </c>
      <c r="K1069" t="s">
        <v>15</v>
      </c>
      <c r="L1069" t="s">
        <v>663</v>
      </c>
      <c r="M1069" t="s">
        <v>855</v>
      </c>
      <c r="O1069">
        <v>197.8</v>
      </c>
      <c r="P1069">
        <v>18.600000000000001</v>
      </c>
      <c r="GD1069">
        <v>1</v>
      </c>
      <c r="GE1069">
        <v>1</v>
      </c>
    </row>
    <row r="1070" spans="1:225" x14ac:dyDescent="0.25">
      <c r="A1070" t="s">
        <v>660</v>
      </c>
      <c r="B1070" t="s">
        <v>32</v>
      </c>
      <c r="C1070" s="3">
        <v>21.24</v>
      </c>
      <c r="D1070" s="3">
        <v>81.59</v>
      </c>
      <c r="E1070" t="s">
        <v>12</v>
      </c>
      <c r="F1070" t="s">
        <v>22</v>
      </c>
      <c r="G1070" t="s">
        <v>106</v>
      </c>
      <c r="H1070">
        <v>40</v>
      </c>
      <c r="I1070" t="s">
        <v>12</v>
      </c>
      <c r="J1070" t="s">
        <v>15</v>
      </c>
      <c r="K1070" t="s">
        <v>15</v>
      </c>
      <c r="L1070" t="s">
        <v>663</v>
      </c>
      <c r="M1070" t="s">
        <v>855</v>
      </c>
      <c r="O1070">
        <v>128.30000000000001</v>
      </c>
      <c r="P1070">
        <v>13.8</v>
      </c>
      <c r="GF1070">
        <v>1</v>
      </c>
      <c r="GG1070">
        <v>1</v>
      </c>
      <c r="GH1070">
        <v>1</v>
      </c>
    </row>
    <row r="1071" spans="1:225" x14ac:dyDescent="0.25">
      <c r="A1071" t="s">
        <v>660</v>
      </c>
      <c r="B1071" t="s">
        <v>32</v>
      </c>
      <c r="C1071" s="3">
        <v>21.24</v>
      </c>
      <c r="D1071" s="3">
        <v>81.59</v>
      </c>
      <c r="E1071" t="s">
        <v>12</v>
      </c>
      <c r="F1071" t="s">
        <v>22</v>
      </c>
      <c r="G1071" t="s">
        <v>106</v>
      </c>
      <c r="H1071">
        <v>40</v>
      </c>
      <c r="I1071" t="s">
        <v>12</v>
      </c>
      <c r="J1071" t="s">
        <v>15</v>
      </c>
      <c r="K1071" t="s">
        <v>15</v>
      </c>
      <c r="L1071" t="s">
        <v>663</v>
      </c>
      <c r="M1071" t="s">
        <v>855</v>
      </c>
      <c r="O1071">
        <v>126</v>
      </c>
      <c r="P1071">
        <v>15.4</v>
      </c>
      <c r="GI1071">
        <v>1</v>
      </c>
      <c r="GJ1071">
        <v>1</v>
      </c>
      <c r="GK1071">
        <v>1</v>
      </c>
    </row>
    <row r="1072" spans="1:225" x14ac:dyDescent="0.25">
      <c r="A1072" t="s">
        <v>660</v>
      </c>
      <c r="B1072" t="s">
        <v>32</v>
      </c>
      <c r="C1072" s="3">
        <f>21+14/60</f>
        <v>21.233333333333334</v>
      </c>
      <c r="D1072" s="3">
        <f>81+38/60</f>
        <v>81.63333333333334</v>
      </c>
      <c r="E1072" t="s">
        <v>12</v>
      </c>
      <c r="F1072" t="s">
        <v>22</v>
      </c>
      <c r="G1072" t="s">
        <v>106</v>
      </c>
      <c r="H1072">
        <v>40</v>
      </c>
      <c r="I1072" t="s">
        <v>12</v>
      </c>
      <c r="J1072" t="s">
        <v>15</v>
      </c>
      <c r="K1072" t="s">
        <v>12</v>
      </c>
      <c r="L1072" t="s">
        <v>663</v>
      </c>
      <c r="M1072" t="s">
        <v>859</v>
      </c>
      <c r="O1072">
        <v>268.2</v>
      </c>
      <c r="P1072">
        <v>27</v>
      </c>
      <c r="GB1072">
        <v>1</v>
      </c>
      <c r="GC1072">
        <v>1</v>
      </c>
      <c r="GD1072">
        <v>1</v>
      </c>
    </row>
    <row r="1073" spans="1:202" x14ac:dyDescent="0.25">
      <c r="A1073" t="s">
        <v>660</v>
      </c>
      <c r="B1073" t="s">
        <v>32</v>
      </c>
      <c r="C1073" s="3">
        <f>21+14/60</f>
        <v>21.233333333333334</v>
      </c>
      <c r="D1073" s="3">
        <f>81+38/60</f>
        <v>81.63333333333334</v>
      </c>
      <c r="E1073" t="s">
        <v>12</v>
      </c>
      <c r="F1073" t="s">
        <v>22</v>
      </c>
      <c r="G1073" t="s">
        <v>106</v>
      </c>
      <c r="H1073">
        <v>40</v>
      </c>
      <c r="I1073" t="s">
        <v>12</v>
      </c>
      <c r="J1073" t="s">
        <v>15</v>
      </c>
      <c r="K1073" t="s">
        <v>12</v>
      </c>
      <c r="L1073" t="s">
        <v>663</v>
      </c>
      <c r="M1073" t="s">
        <v>859</v>
      </c>
      <c r="O1073">
        <v>197.8</v>
      </c>
      <c r="P1073">
        <v>18.600000000000001</v>
      </c>
      <c r="GE1073">
        <v>1</v>
      </c>
      <c r="GF1073">
        <v>1</v>
      </c>
      <c r="GG1073">
        <v>1</v>
      </c>
    </row>
    <row r="1074" spans="1:202" x14ac:dyDescent="0.25">
      <c r="A1074" t="s">
        <v>660</v>
      </c>
      <c r="B1074" t="s">
        <v>32</v>
      </c>
      <c r="C1074" s="3">
        <f>21+14/60</f>
        <v>21.233333333333334</v>
      </c>
      <c r="D1074" s="3">
        <f>81+38/60</f>
        <v>81.63333333333334</v>
      </c>
      <c r="E1074" t="s">
        <v>12</v>
      </c>
      <c r="F1074" t="s">
        <v>22</v>
      </c>
      <c r="G1074" t="s">
        <v>106</v>
      </c>
      <c r="H1074">
        <v>40</v>
      </c>
      <c r="I1074" t="s">
        <v>12</v>
      </c>
      <c r="J1074" t="s">
        <v>15</v>
      </c>
      <c r="K1074" t="s">
        <v>12</v>
      </c>
      <c r="L1074" t="s">
        <v>663</v>
      </c>
      <c r="M1074" t="s">
        <v>859</v>
      </c>
      <c r="O1074">
        <v>128.30000000000001</v>
      </c>
      <c r="P1074">
        <v>13.8</v>
      </c>
      <c r="GH1074">
        <v>1</v>
      </c>
      <c r="GI1074">
        <v>1</v>
      </c>
      <c r="GJ1074">
        <v>1</v>
      </c>
    </row>
    <row r="1075" spans="1:202" x14ac:dyDescent="0.25">
      <c r="A1075" t="s">
        <v>660</v>
      </c>
      <c r="B1075" t="s">
        <v>32</v>
      </c>
      <c r="C1075" s="3">
        <f>21+14/60</f>
        <v>21.233333333333334</v>
      </c>
      <c r="D1075" s="3">
        <f>81+38/60</f>
        <v>81.63333333333334</v>
      </c>
      <c r="E1075" t="s">
        <v>12</v>
      </c>
      <c r="F1075" t="s">
        <v>22</v>
      </c>
      <c r="G1075" t="s">
        <v>106</v>
      </c>
      <c r="H1075">
        <v>40</v>
      </c>
      <c r="I1075" t="s">
        <v>12</v>
      </c>
      <c r="J1075" t="s">
        <v>15</v>
      </c>
      <c r="K1075" t="s">
        <v>12</v>
      </c>
      <c r="L1075" t="s">
        <v>663</v>
      </c>
      <c r="M1075" t="s">
        <v>859</v>
      </c>
      <c r="O1075">
        <v>126</v>
      </c>
      <c r="P1075">
        <v>15.4</v>
      </c>
      <c r="FZ1075">
        <v>1</v>
      </c>
      <c r="GA1075">
        <v>1</v>
      </c>
      <c r="GK1075">
        <v>1</v>
      </c>
    </row>
    <row r="1076" spans="1:202" x14ac:dyDescent="0.25">
      <c r="A1076" t="s">
        <v>660</v>
      </c>
      <c r="B1076" t="s">
        <v>32</v>
      </c>
      <c r="C1076" s="3">
        <v>21.24</v>
      </c>
      <c r="D1076" s="3">
        <v>81.59</v>
      </c>
      <c r="E1076" t="s">
        <v>12</v>
      </c>
      <c r="F1076" t="s">
        <v>22</v>
      </c>
      <c r="G1076" t="s">
        <v>106</v>
      </c>
      <c r="H1076">
        <v>40</v>
      </c>
      <c r="I1076" t="s">
        <v>12</v>
      </c>
      <c r="J1076" t="s">
        <v>15</v>
      </c>
      <c r="K1076" t="s">
        <v>15</v>
      </c>
      <c r="L1076" t="s">
        <v>662</v>
      </c>
      <c r="M1076" t="s">
        <v>856</v>
      </c>
      <c r="O1076">
        <f>25.1+23.6+22.9+19.8</f>
        <v>91.399999999999991</v>
      </c>
      <c r="GI1076">
        <v>1</v>
      </c>
      <c r="GJ1076">
        <v>1</v>
      </c>
      <c r="GK1076">
        <v>1</v>
      </c>
    </row>
    <row r="1077" spans="1:202" x14ac:dyDescent="0.25">
      <c r="A1077" t="s">
        <v>660</v>
      </c>
      <c r="B1077" t="s">
        <v>32</v>
      </c>
      <c r="C1077" s="3">
        <v>21.24</v>
      </c>
      <c r="D1077" s="3">
        <v>81.59</v>
      </c>
      <c r="E1077" t="s">
        <v>12</v>
      </c>
      <c r="F1077" t="s">
        <v>22</v>
      </c>
      <c r="G1077" t="s">
        <v>106</v>
      </c>
      <c r="H1077">
        <v>40</v>
      </c>
      <c r="I1077" t="s">
        <v>12</v>
      </c>
      <c r="J1077" t="s">
        <v>15</v>
      </c>
      <c r="K1077" t="s">
        <v>15</v>
      </c>
      <c r="L1077" t="s">
        <v>662</v>
      </c>
      <c r="M1077" t="s">
        <v>856</v>
      </c>
      <c r="O1077">
        <f>58.3+58.3+55+53.4</f>
        <v>225</v>
      </c>
      <c r="GL1077">
        <v>1</v>
      </c>
      <c r="GM1077">
        <v>1</v>
      </c>
      <c r="GN1077">
        <v>1</v>
      </c>
    </row>
    <row r="1078" spans="1:202" x14ac:dyDescent="0.25">
      <c r="A1078" t="s">
        <v>660</v>
      </c>
      <c r="B1078" t="s">
        <v>32</v>
      </c>
      <c r="C1078" s="3">
        <v>21.24</v>
      </c>
      <c r="D1078" s="3">
        <v>81.59</v>
      </c>
      <c r="E1078" t="s">
        <v>12</v>
      </c>
      <c r="F1078" t="s">
        <v>22</v>
      </c>
      <c r="G1078" t="s">
        <v>106</v>
      </c>
      <c r="H1078">
        <v>40</v>
      </c>
      <c r="I1078" t="s">
        <v>12</v>
      </c>
      <c r="J1078" t="s">
        <v>15</v>
      </c>
      <c r="K1078" t="s">
        <v>15</v>
      </c>
      <c r="L1078" t="s">
        <v>662</v>
      </c>
      <c r="M1078" t="s">
        <v>856</v>
      </c>
      <c r="O1078">
        <f>43.7+47+42.2+39.2</f>
        <v>172.10000000000002</v>
      </c>
      <c r="GO1078">
        <v>1</v>
      </c>
      <c r="GP1078">
        <v>1</v>
      </c>
      <c r="GQ1078">
        <v>1</v>
      </c>
    </row>
    <row r="1079" spans="1:202" x14ac:dyDescent="0.25">
      <c r="A1079" t="s">
        <v>660</v>
      </c>
      <c r="B1079" t="s">
        <v>32</v>
      </c>
      <c r="C1079" s="3">
        <v>21.24</v>
      </c>
      <c r="D1079" s="3">
        <v>81.59</v>
      </c>
      <c r="E1079" t="s">
        <v>12</v>
      </c>
      <c r="F1079" t="s">
        <v>22</v>
      </c>
      <c r="G1079" t="s">
        <v>106</v>
      </c>
      <c r="H1079">
        <v>40</v>
      </c>
      <c r="I1079" t="s">
        <v>12</v>
      </c>
      <c r="J1079" t="s">
        <v>15</v>
      </c>
      <c r="K1079" t="s">
        <v>15</v>
      </c>
      <c r="L1079" t="s">
        <v>662</v>
      </c>
      <c r="M1079" t="s">
        <v>856</v>
      </c>
      <c r="O1079">
        <f>24.7+24.3+26.3+22.1</f>
        <v>97.4</v>
      </c>
      <c r="GR1079">
        <v>1</v>
      </c>
      <c r="GS1079">
        <v>1</v>
      </c>
      <c r="GT1079">
        <v>1</v>
      </c>
    </row>
    <row r="1080" spans="1:202" x14ac:dyDescent="0.25">
      <c r="A1080" t="s">
        <v>186</v>
      </c>
      <c r="B1080" t="s">
        <v>32</v>
      </c>
      <c r="C1080" s="3">
        <f>21+14/60</f>
        <v>21.233333333333334</v>
      </c>
      <c r="D1080" s="3">
        <f>81+38/60</f>
        <v>81.63333333333334</v>
      </c>
      <c r="E1080" t="s">
        <v>15</v>
      </c>
      <c r="F1080" t="s">
        <v>77</v>
      </c>
      <c r="G1080" t="s">
        <v>76</v>
      </c>
      <c r="H1080">
        <v>40</v>
      </c>
      <c r="I1080" t="s">
        <v>12</v>
      </c>
      <c r="J1080" t="s">
        <v>15</v>
      </c>
      <c r="K1080" t="s">
        <v>15</v>
      </c>
      <c r="L1080" t="s">
        <v>185</v>
      </c>
      <c r="M1080" t="s">
        <v>1089</v>
      </c>
      <c r="O1080">
        <v>239</v>
      </c>
      <c r="P1080">
        <v>74.8</v>
      </c>
      <c r="EL1080">
        <v>0.5</v>
      </c>
      <c r="EM1080">
        <v>0.5</v>
      </c>
      <c r="EN1080">
        <v>0.5</v>
      </c>
    </row>
    <row r="1081" spans="1:202" x14ac:dyDescent="0.25">
      <c r="A1081" t="s">
        <v>186</v>
      </c>
      <c r="B1081" t="s">
        <v>32</v>
      </c>
      <c r="C1081" s="3">
        <f>21+14/60</f>
        <v>21.233333333333334</v>
      </c>
      <c r="D1081" s="3">
        <f>81+38/60</f>
        <v>81.63333333333334</v>
      </c>
      <c r="E1081" t="s">
        <v>15</v>
      </c>
      <c r="F1081" t="s">
        <v>77</v>
      </c>
      <c r="G1081" t="s">
        <v>76</v>
      </c>
      <c r="H1081">
        <v>40</v>
      </c>
      <c r="I1081" t="s">
        <v>12</v>
      </c>
      <c r="J1081" t="s">
        <v>15</v>
      </c>
      <c r="K1081" t="s">
        <v>15</v>
      </c>
      <c r="L1081" t="s">
        <v>185</v>
      </c>
      <c r="M1081" t="s">
        <v>1089</v>
      </c>
      <c r="O1081">
        <v>74.099999999999994</v>
      </c>
      <c r="P1081">
        <v>23</v>
      </c>
      <c r="EO1081">
        <v>0.5</v>
      </c>
      <c r="EP1081">
        <v>0.5</v>
      </c>
      <c r="EQ1081">
        <v>0.5</v>
      </c>
    </row>
    <row r="1082" spans="1:202" x14ac:dyDescent="0.25">
      <c r="A1082" t="s">
        <v>186</v>
      </c>
      <c r="B1082" t="s">
        <v>32</v>
      </c>
      <c r="C1082" s="3">
        <f>21+14/60</f>
        <v>21.233333333333334</v>
      </c>
      <c r="D1082" s="3">
        <f>81+38/60</f>
        <v>81.63333333333334</v>
      </c>
      <c r="E1082" t="s">
        <v>15</v>
      </c>
      <c r="F1082" t="s">
        <v>77</v>
      </c>
      <c r="G1082" t="s">
        <v>76</v>
      </c>
      <c r="H1082">
        <v>40</v>
      </c>
      <c r="I1082" t="s">
        <v>12</v>
      </c>
      <c r="J1082" t="s">
        <v>15</v>
      </c>
      <c r="K1082" t="s">
        <v>15</v>
      </c>
      <c r="L1082" t="s">
        <v>185</v>
      </c>
      <c r="M1082" t="s">
        <v>1089</v>
      </c>
      <c r="O1082">
        <v>110.3</v>
      </c>
      <c r="P1082">
        <v>62.6</v>
      </c>
      <c r="ER1082">
        <v>0.5</v>
      </c>
      <c r="ES1082">
        <v>0.5</v>
      </c>
      <c r="ET1082">
        <v>0.5</v>
      </c>
    </row>
    <row r="1083" spans="1:202" x14ac:dyDescent="0.25">
      <c r="A1083" t="s">
        <v>186</v>
      </c>
      <c r="B1083" t="s">
        <v>32</v>
      </c>
      <c r="C1083" s="3">
        <f>21+14/60</f>
        <v>21.233333333333334</v>
      </c>
      <c r="D1083" s="3">
        <f>81+38/60</f>
        <v>81.63333333333334</v>
      </c>
      <c r="E1083" t="s">
        <v>15</v>
      </c>
      <c r="F1083" t="s">
        <v>77</v>
      </c>
      <c r="G1083" t="s">
        <v>76</v>
      </c>
      <c r="H1083">
        <v>40</v>
      </c>
      <c r="I1083" t="s">
        <v>12</v>
      </c>
      <c r="J1083" t="s">
        <v>15</v>
      </c>
      <c r="K1083" t="s">
        <v>15</v>
      </c>
      <c r="L1083" t="s">
        <v>185</v>
      </c>
      <c r="M1083" t="s">
        <v>1089</v>
      </c>
      <c r="O1083">
        <v>77.099999999999994</v>
      </c>
      <c r="P1083">
        <v>50</v>
      </c>
      <c r="EJ1083">
        <v>0.5</v>
      </c>
      <c r="EK1083">
        <v>0.5</v>
      </c>
      <c r="EU1083">
        <v>0.5</v>
      </c>
    </row>
    <row r="1084" spans="1:202" x14ac:dyDescent="0.25">
      <c r="A1084" t="s">
        <v>566</v>
      </c>
      <c r="B1084" t="s">
        <v>32</v>
      </c>
      <c r="C1084" s="3">
        <v>19.04</v>
      </c>
      <c r="D1084" s="3">
        <v>72.92</v>
      </c>
      <c r="E1084" t="s">
        <v>15</v>
      </c>
      <c r="F1084" t="s">
        <v>77</v>
      </c>
      <c r="G1084" t="s">
        <v>106</v>
      </c>
      <c r="I1084" t="s">
        <v>12</v>
      </c>
      <c r="J1084" t="s">
        <v>12</v>
      </c>
      <c r="K1084" t="s">
        <v>12</v>
      </c>
      <c r="L1084" t="s">
        <v>560</v>
      </c>
      <c r="M1084" t="s">
        <v>906</v>
      </c>
      <c r="O1084">
        <v>37.340000000000003</v>
      </c>
      <c r="P1084">
        <v>15.37</v>
      </c>
      <c r="CW1084">
        <v>1</v>
      </c>
      <c r="CX1084">
        <v>1</v>
      </c>
      <c r="CY1084">
        <v>1</v>
      </c>
      <c r="CZ1084">
        <v>1</v>
      </c>
      <c r="DA1084">
        <v>1</v>
      </c>
      <c r="DB1084">
        <v>1</v>
      </c>
      <c r="DC1084">
        <v>1</v>
      </c>
      <c r="DD1084">
        <v>1</v>
      </c>
      <c r="DE1084">
        <v>1</v>
      </c>
      <c r="DF1084">
        <v>1</v>
      </c>
      <c r="DG1084">
        <v>1</v>
      </c>
      <c r="DH1084">
        <v>1</v>
      </c>
      <c r="DI1084">
        <v>1</v>
      </c>
      <c r="DJ1084">
        <v>1</v>
      </c>
      <c r="DK1084">
        <v>1</v>
      </c>
      <c r="DL1084">
        <v>1</v>
      </c>
      <c r="DM1084">
        <v>1</v>
      </c>
      <c r="DN1084">
        <v>1</v>
      </c>
      <c r="DO1084">
        <v>1</v>
      </c>
      <c r="DP1084">
        <v>1</v>
      </c>
      <c r="DQ1084">
        <v>1</v>
      </c>
      <c r="DR1084">
        <v>1</v>
      </c>
      <c r="DS1084">
        <v>1</v>
      </c>
      <c r="DT1084">
        <v>1</v>
      </c>
      <c r="DU1084">
        <v>1</v>
      </c>
      <c r="DV1084">
        <v>1</v>
      </c>
      <c r="DW1084">
        <v>1</v>
      </c>
      <c r="DX1084">
        <v>1</v>
      </c>
      <c r="DY1084">
        <v>1</v>
      </c>
      <c r="DZ1084">
        <v>1</v>
      </c>
      <c r="EA1084">
        <v>1</v>
      </c>
      <c r="EB1084">
        <v>1</v>
      </c>
      <c r="EC1084">
        <v>1</v>
      </c>
      <c r="ED1084">
        <v>1</v>
      </c>
      <c r="EE1084">
        <v>1</v>
      </c>
      <c r="EF1084">
        <v>1</v>
      </c>
      <c r="EG1084">
        <v>1</v>
      </c>
      <c r="EH1084">
        <v>1</v>
      </c>
      <c r="EI1084">
        <v>1</v>
      </c>
      <c r="EJ1084">
        <v>1</v>
      </c>
      <c r="EK1084">
        <v>1</v>
      </c>
      <c r="EL1084">
        <v>1</v>
      </c>
      <c r="EM1084">
        <v>1</v>
      </c>
      <c r="EN1084">
        <v>1</v>
      </c>
      <c r="EO1084">
        <v>1</v>
      </c>
      <c r="EP1084">
        <v>1</v>
      </c>
      <c r="EQ1084">
        <v>1</v>
      </c>
      <c r="ER1084">
        <v>1</v>
      </c>
    </row>
    <row r="1085" spans="1:202" x14ac:dyDescent="0.25">
      <c r="A1085" t="s">
        <v>565</v>
      </c>
      <c r="B1085" t="s">
        <v>32</v>
      </c>
      <c r="C1085" s="3">
        <v>19.07</v>
      </c>
      <c r="D1085" s="3">
        <v>72.97</v>
      </c>
      <c r="E1085" t="s">
        <v>15</v>
      </c>
      <c r="F1085" t="s">
        <v>77</v>
      </c>
      <c r="G1085" t="s">
        <v>106</v>
      </c>
      <c r="I1085" t="s">
        <v>12</v>
      </c>
      <c r="J1085" t="s">
        <v>12</v>
      </c>
      <c r="K1085" t="s">
        <v>12</v>
      </c>
      <c r="L1085" t="s">
        <v>560</v>
      </c>
      <c r="M1085" t="s">
        <v>906</v>
      </c>
      <c r="O1085">
        <v>44.69</v>
      </c>
      <c r="P1085">
        <v>17.68</v>
      </c>
      <c r="CW1085">
        <v>1</v>
      </c>
      <c r="CX1085">
        <v>1</v>
      </c>
      <c r="CY1085">
        <v>1</v>
      </c>
      <c r="CZ1085">
        <v>1</v>
      </c>
      <c r="DA1085">
        <v>1</v>
      </c>
      <c r="DB1085">
        <v>1</v>
      </c>
      <c r="DC1085">
        <v>1</v>
      </c>
      <c r="DD1085">
        <v>1</v>
      </c>
      <c r="DE1085">
        <v>1</v>
      </c>
      <c r="DF1085">
        <v>1</v>
      </c>
      <c r="DG1085">
        <v>1</v>
      </c>
      <c r="DH1085">
        <v>1</v>
      </c>
      <c r="DI1085">
        <v>1</v>
      </c>
      <c r="DJ1085">
        <v>1</v>
      </c>
      <c r="DK1085">
        <v>1</v>
      </c>
      <c r="DL1085">
        <v>1</v>
      </c>
      <c r="DM1085">
        <v>1</v>
      </c>
      <c r="DN1085">
        <v>1</v>
      </c>
      <c r="DO1085">
        <v>1</v>
      </c>
      <c r="DP1085">
        <v>1</v>
      </c>
      <c r="DQ1085">
        <v>1</v>
      </c>
      <c r="DR1085">
        <v>1</v>
      </c>
      <c r="DS1085">
        <v>1</v>
      </c>
      <c r="DT1085">
        <v>1</v>
      </c>
      <c r="DU1085">
        <v>1</v>
      </c>
      <c r="DV1085">
        <v>1</v>
      </c>
      <c r="DW1085">
        <v>1</v>
      </c>
      <c r="DX1085">
        <v>1</v>
      </c>
      <c r="DY1085">
        <v>1</v>
      </c>
      <c r="DZ1085">
        <v>1</v>
      </c>
      <c r="EA1085">
        <v>1</v>
      </c>
      <c r="EB1085">
        <v>1</v>
      </c>
      <c r="EC1085">
        <v>1</v>
      </c>
      <c r="ED1085">
        <v>1</v>
      </c>
      <c r="EE1085">
        <v>1</v>
      </c>
      <c r="EF1085">
        <v>1</v>
      </c>
      <c r="EG1085">
        <v>1</v>
      </c>
      <c r="EH1085">
        <v>1</v>
      </c>
      <c r="EI1085">
        <v>1</v>
      </c>
      <c r="EJ1085">
        <v>1</v>
      </c>
      <c r="EK1085">
        <v>1</v>
      </c>
      <c r="EL1085">
        <v>1</v>
      </c>
      <c r="EM1085">
        <v>1</v>
      </c>
      <c r="EN1085">
        <v>1</v>
      </c>
      <c r="EO1085">
        <v>1</v>
      </c>
      <c r="EP1085">
        <v>1</v>
      </c>
      <c r="EQ1085">
        <v>1</v>
      </c>
      <c r="ER1085">
        <v>1</v>
      </c>
    </row>
    <row r="1086" spans="1:202" x14ac:dyDescent="0.25">
      <c r="A1086" t="s">
        <v>299</v>
      </c>
      <c r="B1086" t="s">
        <v>240</v>
      </c>
      <c r="C1086" s="3">
        <v>-6.92</v>
      </c>
      <c r="D1086" s="3">
        <v>107.61</v>
      </c>
      <c r="E1086" t="s">
        <v>12</v>
      </c>
      <c r="F1086" t="s">
        <v>77</v>
      </c>
      <c r="G1086" t="s">
        <v>106</v>
      </c>
      <c r="I1086" t="s">
        <v>15</v>
      </c>
      <c r="J1086" t="s">
        <v>15</v>
      </c>
      <c r="K1086" t="s">
        <v>15</v>
      </c>
      <c r="L1086" t="s">
        <v>477</v>
      </c>
      <c r="M1086" t="s">
        <v>961</v>
      </c>
      <c r="O1086">
        <v>48</v>
      </c>
      <c r="P1086">
        <v>11</v>
      </c>
      <c r="CO1086">
        <v>1</v>
      </c>
      <c r="CP1086">
        <v>1</v>
      </c>
      <c r="CQ1086">
        <v>1</v>
      </c>
      <c r="CR1086">
        <v>1</v>
      </c>
      <c r="CS1086">
        <v>1</v>
      </c>
      <c r="DA1086">
        <v>1</v>
      </c>
      <c r="DB1086">
        <v>1</v>
      </c>
      <c r="DC1086">
        <v>1</v>
      </c>
      <c r="DD1086">
        <v>1</v>
      </c>
      <c r="DE1086">
        <v>1</v>
      </c>
      <c r="DM1086">
        <v>1</v>
      </c>
      <c r="DN1086">
        <v>1</v>
      </c>
      <c r="DO1086">
        <v>1</v>
      </c>
      <c r="DP1086">
        <v>1</v>
      </c>
      <c r="DQ1086">
        <v>1</v>
      </c>
      <c r="DY1086">
        <v>1</v>
      </c>
      <c r="DZ1086">
        <v>1</v>
      </c>
      <c r="EA1086">
        <v>1</v>
      </c>
      <c r="EB1086">
        <v>1</v>
      </c>
      <c r="EC1086">
        <v>1</v>
      </c>
      <c r="EK1086">
        <v>1</v>
      </c>
      <c r="EL1086">
        <v>1</v>
      </c>
      <c r="EM1086">
        <v>1</v>
      </c>
      <c r="EN1086">
        <v>1</v>
      </c>
      <c r="EO1086">
        <v>1</v>
      </c>
      <c r="EW1086">
        <v>1</v>
      </c>
      <c r="EX1086">
        <v>1</v>
      </c>
      <c r="EY1086">
        <v>1</v>
      </c>
      <c r="EZ1086">
        <v>1</v>
      </c>
      <c r="FA1086">
        <v>1</v>
      </c>
      <c r="FI1086">
        <v>1</v>
      </c>
      <c r="FJ1086">
        <v>1</v>
      </c>
      <c r="FK1086">
        <v>1</v>
      </c>
      <c r="FL1086">
        <v>1</v>
      </c>
      <c r="FM1086">
        <v>1</v>
      </c>
    </row>
    <row r="1087" spans="1:202" x14ac:dyDescent="0.25">
      <c r="A1087" t="s">
        <v>299</v>
      </c>
      <c r="B1087" t="s">
        <v>240</v>
      </c>
      <c r="C1087" s="3">
        <v>-6.92</v>
      </c>
      <c r="D1087" s="3">
        <v>107.61</v>
      </c>
      <c r="E1087" t="s">
        <v>12</v>
      </c>
      <c r="F1087" t="s">
        <v>77</v>
      </c>
      <c r="G1087" t="s">
        <v>106</v>
      </c>
      <c r="I1087" t="s">
        <v>15</v>
      </c>
      <c r="J1087" t="s">
        <v>15</v>
      </c>
      <c r="K1087" t="s">
        <v>15</v>
      </c>
      <c r="L1087" t="s">
        <v>477</v>
      </c>
      <c r="M1087" t="s">
        <v>962</v>
      </c>
      <c r="O1087">
        <v>39</v>
      </c>
      <c r="P1087">
        <v>11</v>
      </c>
      <c r="CT1087">
        <v>1</v>
      </c>
      <c r="CU1087">
        <v>1</v>
      </c>
      <c r="CV1087">
        <v>1</v>
      </c>
      <c r="CW1087">
        <v>1</v>
      </c>
      <c r="CX1087">
        <v>1</v>
      </c>
      <c r="CY1087">
        <v>1</v>
      </c>
      <c r="CZ1087">
        <v>1</v>
      </c>
      <c r="DF1087">
        <v>1</v>
      </c>
      <c r="DG1087">
        <v>1</v>
      </c>
      <c r="DH1087">
        <v>1</v>
      </c>
      <c r="DI1087">
        <v>1</v>
      </c>
      <c r="DJ1087">
        <v>1</v>
      </c>
      <c r="DK1087">
        <v>1</v>
      </c>
      <c r="DL1087">
        <v>1</v>
      </c>
      <c r="DR1087">
        <v>1</v>
      </c>
      <c r="DS1087">
        <v>1</v>
      </c>
      <c r="DT1087">
        <v>1</v>
      </c>
      <c r="DU1087">
        <v>1</v>
      </c>
      <c r="DV1087">
        <v>1</v>
      </c>
      <c r="DW1087">
        <v>1</v>
      </c>
      <c r="DX1087">
        <v>1</v>
      </c>
      <c r="ED1087">
        <v>1</v>
      </c>
      <c r="EE1087">
        <v>1</v>
      </c>
      <c r="EF1087">
        <v>1</v>
      </c>
      <c r="EG1087">
        <v>1</v>
      </c>
      <c r="EH1087">
        <v>1</v>
      </c>
      <c r="EI1087">
        <v>1</v>
      </c>
      <c r="EJ1087">
        <v>1</v>
      </c>
      <c r="EP1087">
        <v>1</v>
      </c>
      <c r="EQ1087">
        <v>1</v>
      </c>
      <c r="ER1087">
        <v>1</v>
      </c>
      <c r="ES1087">
        <v>1</v>
      </c>
      <c r="ET1087">
        <v>1</v>
      </c>
      <c r="EU1087">
        <v>1</v>
      </c>
      <c r="EV1087">
        <v>1</v>
      </c>
      <c r="FB1087">
        <v>1</v>
      </c>
      <c r="FC1087">
        <v>1</v>
      </c>
      <c r="FD1087">
        <v>1</v>
      </c>
      <c r="FE1087">
        <v>1</v>
      </c>
      <c r="FF1087">
        <v>1</v>
      </c>
      <c r="FG1087">
        <v>1</v>
      </c>
      <c r="FH1087">
        <v>1</v>
      </c>
      <c r="FN1087">
        <v>1</v>
      </c>
      <c r="FO1087">
        <v>1</v>
      </c>
      <c r="FP1087">
        <v>1</v>
      </c>
    </row>
    <row r="1088" spans="1:202" x14ac:dyDescent="0.25">
      <c r="A1088" t="s">
        <v>299</v>
      </c>
      <c r="B1088" t="s">
        <v>240</v>
      </c>
      <c r="C1088" s="3">
        <v>-6.92</v>
      </c>
      <c r="D1088" s="3">
        <v>107.61</v>
      </c>
      <c r="E1088" t="s">
        <v>12</v>
      </c>
      <c r="F1088" t="s">
        <v>77</v>
      </c>
      <c r="G1088" t="s">
        <v>76</v>
      </c>
      <c r="H1088">
        <v>40</v>
      </c>
      <c r="I1088" t="s">
        <v>15</v>
      </c>
      <c r="J1088" t="s">
        <v>15</v>
      </c>
      <c r="K1088" t="s">
        <v>15</v>
      </c>
      <c r="L1088" t="s">
        <v>390</v>
      </c>
      <c r="M1088" t="s">
        <v>1002</v>
      </c>
      <c r="O1088">
        <v>53</v>
      </c>
      <c r="CK1088">
        <v>1</v>
      </c>
      <c r="CL1088">
        <v>1</v>
      </c>
      <c r="CM1088">
        <v>1</v>
      </c>
      <c r="CN1088">
        <v>1</v>
      </c>
      <c r="CU1088">
        <v>1</v>
      </c>
      <c r="CV1088">
        <v>1</v>
      </c>
      <c r="CW1088">
        <v>1</v>
      </c>
      <c r="CX1088">
        <v>1</v>
      </c>
      <c r="CY1088">
        <v>1</v>
      </c>
      <c r="CZ1088">
        <v>1</v>
      </c>
      <c r="DG1088">
        <v>1</v>
      </c>
      <c r="DH1088">
        <v>1</v>
      </c>
      <c r="DI1088">
        <v>1</v>
      </c>
      <c r="DJ1088">
        <v>1</v>
      </c>
      <c r="DK1088">
        <v>1</v>
      </c>
      <c r="DL1088">
        <v>1</v>
      </c>
      <c r="DS1088">
        <v>1</v>
      </c>
      <c r="DT1088">
        <v>1</v>
      </c>
      <c r="DU1088">
        <v>1</v>
      </c>
      <c r="DV1088">
        <v>1</v>
      </c>
      <c r="DW1088">
        <v>1</v>
      </c>
      <c r="DX1088">
        <v>1</v>
      </c>
      <c r="EE1088">
        <v>1</v>
      </c>
      <c r="EF1088">
        <v>1</v>
      </c>
    </row>
    <row r="1089" spans="1:205" x14ac:dyDescent="0.25">
      <c r="A1089" t="s">
        <v>299</v>
      </c>
      <c r="B1089" t="s">
        <v>240</v>
      </c>
      <c r="C1089" s="3">
        <v>-6.92</v>
      </c>
      <c r="D1089" s="3">
        <v>107.61</v>
      </c>
      <c r="E1089" t="s">
        <v>12</v>
      </c>
      <c r="F1089" t="s">
        <v>77</v>
      </c>
      <c r="G1089" t="s">
        <v>76</v>
      </c>
      <c r="H1089">
        <v>40</v>
      </c>
      <c r="I1089" t="s">
        <v>15</v>
      </c>
      <c r="J1089" t="s">
        <v>15</v>
      </c>
      <c r="K1089" t="s">
        <v>15</v>
      </c>
      <c r="L1089" t="s">
        <v>390</v>
      </c>
      <c r="M1089" t="s">
        <v>1002</v>
      </c>
      <c r="O1089">
        <v>38</v>
      </c>
      <c r="CO1089">
        <v>1</v>
      </c>
      <c r="CP1089">
        <v>1</v>
      </c>
      <c r="CQ1089">
        <v>1</v>
      </c>
      <c r="CR1089">
        <v>1</v>
      </c>
      <c r="CS1089">
        <v>1</v>
      </c>
      <c r="CT1089">
        <v>1</v>
      </c>
      <c r="DA1089">
        <v>1</v>
      </c>
      <c r="DB1089">
        <v>1</v>
      </c>
      <c r="DC1089">
        <v>1</v>
      </c>
      <c r="DD1089">
        <v>1</v>
      </c>
      <c r="DE1089">
        <v>1</v>
      </c>
      <c r="DF1089">
        <v>1</v>
      </c>
      <c r="DM1089">
        <v>1</v>
      </c>
      <c r="DN1089">
        <v>1</v>
      </c>
      <c r="DO1089">
        <v>1</v>
      </c>
      <c r="DP1089">
        <v>1</v>
      </c>
      <c r="DQ1089">
        <v>1</v>
      </c>
      <c r="DR1089">
        <v>1</v>
      </c>
      <c r="DY1089">
        <v>1</v>
      </c>
      <c r="DZ1089">
        <v>1</v>
      </c>
      <c r="EA1089">
        <v>1</v>
      </c>
      <c r="EB1089">
        <v>1</v>
      </c>
      <c r="EC1089">
        <v>1</v>
      </c>
      <c r="ED1089">
        <v>1</v>
      </c>
    </row>
    <row r="1090" spans="1:205" x14ac:dyDescent="0.25">
      <c r="A1090" t="s">
        <v>299</v>
      </c>
      <c r="B1090" t="s">
        <v>240</v>
      </c>
      <c r="C1090" s="3">
        <v>-6.91</v>
      </c>
      <c r="D1090" s="3">
        <v>107.6</v>
      </c>
      <c r="E1090" t="s">
        <v>15</v>
      </c>
      <c r="F1090" t="s">
        <v>77</v>
      </c>
      <c r="G1090" t="s">
        <v>106</v>
      </c>
      <c r="I1090" t="s">
        <v>12</v>
      </c>
      <c r="J1090" t="s">
        <v>12</v>
      </c>
      <c r="K1090" t="s">
        <v>15</v>
      </c>
      <c r="L1090" t="s">
        <v>301</v>
      </c>
      <c r="M1090" t="s">
        <v>1043</v>
      </c>
      <c r="O1090">
        <v>14.03</v>
      </c>
      <c r="P1090">
        <v>6.86</v>
      </c>
      <c r="CW1090">
        <v>1</v>
      </c>
      <c r="CX1090">
        <v>1</v>
      </c>
      <c r="CY1090">
        <v>1</v>
      </c>
      <c r="CZ1090">
        <v>1</v>
      </c>
      <c r="DA1090">
        <v>1</v>
      </c>
      <c r="DB1090">
        <v>1</v>
      </c>
      <c r="DC1090">
        <v>1</v>
      </c>
      <c r="DD1090">
        <v>1</v>
      </c>
      <c r="DE1090">
        <v>1</v>
      </c>
      <c r="DF1090">
        <v>1</v>
      </c>
      <c r="DG1090">
        <v>1</v>
      </c>
      <c r="DH1090">
        <v>1</v>
      </c>
      <c r="DI1090">
        <v>1</v>
      </c>
      <c r="DJ1090">
        <v>1</v>
      </c>
      <c r="DK1090">
        <v>1</v>
      </c>
      <c r="DL1090">
        <v>1</v>
      </c>
      <c r="DM1090">
        <v>1</v>
      </c>
      <c r="DN1090">
        <v>1</v>
      </c>
      <c r="DO1090">
        <v>1</v>
      </c>
      <c r="DP1090">
        <v>1</v>
      </c>
      <c r="DQ1090">
        <v>1</v>
      </c>
      <c r="DR1090">
        <v>1</v>
      </c>
      <c r="DS1090">
        <v>1</v>
      </c>
      <c r="DT1090">
        <v>1</v>
      </c>
      <c r="DU1090">
        <v>1</v>
      </c>
      <c r="DV1090">
        <v>1</v>
      </c>
      <c r="DW1090">
        <v>1</v>
      </c>
      <c r="DX1090">
        <v>1</v>
      </c>
      <c r="DY1090">
        <v>1</v>
      </c>
      <c r="DZ1090">
        <v>1</v>
      </c>
      <c r="EA1090">
        <v>1</v>
      </c>
      <c r="EB1090">
        <v>1</v>
      </c>
      <c r="EC1090">
        <v>1</v>
      </c>
      <c r="ED1090">
        <v>1</v>
      </c>
      <c r="EE1090">
        <v>1</v>
      </c>
      <c r="EF1090">
        <v>1</v>
      </c>
    </row>
    <row r="1091" spans="1:205" x14ac:dyDescent="0.25">
      <c r="A1091" t="s">
        <v>238</v>
      </c>
      <c r="B1091" t="s">
        <v>240</v>
      </c>
      <c r="C1091" s="3">
        <f>-18/60</f>
        <v>-0.3</v>
      </c>
      <c r="D1091" s="3">
        <f>100+20/60</f>
        <v>100.33333333333333</v>
      </c>
      <c r="E1091" t="s">
        <v>15</v>
      </c>
      <c r="F1091" t="s">
        <v>20</v>
      </c>
      <c r="G1091" t="s">
        <v>106</v>
      </c>
      <c r="I1091" t="s">
        <v>15</v>
      </c>
      <c r="J1091" t="s">
        <v>12</v>
      </c>
      <c r="K1091" t="s">
        <v>15</v>
      </c>
      <c r="L1091" t="s">
        <v>241</v>
      </c>
      <c r="M1091" t="s">
        <v>977</v>
      </c>
      <c r="O1091">
        <v>4.5</v>
      </c>
      <c r="AF1091">
        <v>1</v>
      </c>
      <c r="AG1091">
        <v>1</v>
      </c>
      <c r="AH1091">
        <v>1</v>
      </c>
      <c r="AI1091">
        <v>1</v>
      </c>
      <c r="AJ1091">
        <v>1</v>
      </c>
      <c r="AK1091">
        <v>1</v>
      </c>
      <c r="AL1091">
        <v>1</v>
      </c>
      <c r="AM1091">
        <v>1</v>
      </c>
      <c r="AN1091">
        <v>1</v>
      </c>
      <c r="AO1091">
        <v>1</v>
      </c>
      <c r="AP1091">
        <v>1</v>
      </c>
      <c r="AQ1091">
        <v>1</v>
      </c>
      <c r="AR1091">
        <v>1</v>
      </c>
      <c r="AS1091">
        <v>1</v>
      </c>
      <c r="AT1091">
        <v>1</v>
      </c>
      <c r="AU1091">
        <v>1</v>
      </c>
      <c r="AV1091">
        <v>1</v>
      </c>
      <c r="AW1091">
        <v>1</v>
      </c>
      <c r="AX1091">
        <v>1</v>
      </c>
      <c r="AY1091">
        <v>1</v>
      </c>
      <c r="AZ1091">
        <v>1</v>
      </c>
      <c r="BA1091">
        <v>1</v>
      </c>
      <c r="BB1091">
        <v>1</v>
      </c>
      <c r="BC1091">
        <v>1</v>
      </c>
      <c r="BD1091">
        <v>1</v>
      </c>
      <c r="BE1091">
        <v>1</v>
      </c>
      <c r="BF1091">
        <v>1</v>
      </c>
      <c r="BG1091">
        <v>1</v>
      </c>
      <c r="BH1091">
        <v>1</v>
      </c>
      <c r="BI1091">
        <v>1</v>
      </c>
      <c r="BJ1091">
        <v>1</v>
      </c>
      <c r="BK1091">
        <v>1</v>
      </c>
      <c r="BL1091">
        <v>1</v>
      </c>
      <c r="BM1091">
        <v>1</v>
      </c>
      <c r="BN1091">
        <v>1</v>
      </c>
      <c r="BO1091">
        <v>1</v>
      </c>
      <c r="BP1091">
        <v>1</v>
      </c>
      <c r="BQ1091">
        <v>1</v>
      </c>
      <c r="BR1091">
        <v>1</v>
      </c>
      <c r="BS1091">
        <v>1</v>
      </c>
      <c r="BT1091">
        <v>1</v>
      </c>
    </row>
    <row r="1092" spans="1:205" x14ac:dyDescent="0.25">
      <c r="A1092" t="s">
        <v>300</v>
      </c>
      <c r="B1092" t="s">
        <v>240</v>
      </c>
      <c r="C1092" s="3">
        <v>-6.81</v>
      </c>
      <c r="D1092" s="3">
        <v>107.61</v>
      </c>
      <c r="E1092" t="s">
        <v>12</v>
      </c>
      <c r="F1092" t="s">
        <v>77</v>
      </c>
      <c r="G1092" t="s">
        <v>106</v>
      </c>
      <c r="I1092" t="s">
        <v>12</v>
      </c>
      <c r="J1092" t="s">
        <v>12</v>
      </c>
      <c r="K1092" t="s">
        <v>15</v>
      </c>
      <c r="L1092" t="s">
        <v>960</v>
      </c>
      <c r="M1092" t="s">
        <v>959</v>
      </c>
      <c r="O1092">
        <v>12.2</v>
      </c>
      <c r="FQ1092">
        <v>1</v>
      </c>
      <c r="FR1092">
        <v>1</v>
      </c>
      <c r="FS1092">
        <v>1</v>
      </c>
      <c r="FT1092">
        <v>1</v>
      </c>
      <c r="FU1092">
        <v>1</v>
      </c>
      <c r="FV1092">
        <v>0.5</v>
      </c>
      <c r="FZ1092">
        <v>0.5</v>
      </c>
      <c r="GA1092">
        <v>1</v>
      </c>
      <c r="GB1092">
        <v>1</v>
      </c>
      <c r="GC1092">
        <v>1</v>
      </c>
      <c r="GD1092">
        <v>1</v>
      </c>
      <c r="GE1092">
        <v>1</v>
      </c>
      <c r="GF1092">
        <v>1</v>
      </c>
      <c r="GG1092">
        <v>1</v>
      </c>
      <c r="GH1092">
        <v>1</v>
      </c>
    </row>
    <row r="1093" spans="1:205" x14ac:dyDescent="0.25">
      <c r="A1093" t="s">
        <v>300</v>
      </c>
      <c r="B1093" t="s">
        <v>240</v>
      </c>
      <c r="C1093" s="3">
        <v>-6.79</v>
      </c>
      <c r="D1093" s="3">
        <v>107.23</v>
      </c>
      <c r="E1093" t="s">
        <v>15</v>
      </c>
      <c r="F1093" t="s">
        <v>21</v>
      </c>
      <c r="G1093" t="s">
        <v>106</v>
      </c>
      <c r="I1093" t="s">
        <v>12</v>
      </c>
      <c r="J1093" t="s">
        <v>12</v>
      </c>
      <c r="K1093" t="s">
        <v>15</v>
      </c>
      <c r="L1093" t="s">
        <v>301</v>
      </c>
      <c r="M1093" t="s">
        <v>1043</v>
      </c>
      <c r="O1093">
        <v>11.88</v>
      </c>
      <c r="P1093">
        <v>6.6</v>
      </c>
      <c r="CW1093">
        <v>1</v>
      </c>
      <c r="CX1093">
        <v>1</v>
      </c>
      <c r="CY1093">
        <v>1</v>
      </c>
      <c r="CZ1093">
        <v>1</v>
      </c>
      <c r="DA1093">
        <v>1</v>
      </c>
      <c r="DB1093">
        <v>1</v>
      </c>
      <c r="DC1093">
        <v>1</v>
      </c>
      <c r="DD1093">
        <v>1</v>
      </c>
      <c r="DE1093">
        <v>1</v>
      </c>
      <c r="DF1093">
        <v>1</v>
      </c>
      <c r="DG1093">
        <v>1</v>
      </c>
      <c r="DH1093">
        <v>1</v>
      </c>
      <c r="DI1093">
        <v>1</v>
      </c>
      <c r="DJ1093">
        <v>1</v>
      </c>
      <c r="DK1093">
        <v>1</v>
      </c>
      <c r="DL1093">
        <v>1</v>
      </c>
      <c r="DM1093">
        <v>1</v>
      </c>
      <c r="DN1093">
        <v>1</v>
      </c>
      <c r="DO1093">
        <v>1</v>
      </c>
      <c r="DP1093">
        <v>1</v>
      </c>
      <c r="DQ1093">
        <v>1</v>
      </c>
      <c r="DR1093">
        <v>1</v>
      </c>
      <c r="DS1093">
        <v>1</v>
      </c>
      <c r="DT1093">
        <v>1</v>
      </c>
      <c r="DW1093">
        <v>1</v>
      </c>
      <c r="DX1093">
        <v>1</v>
      </c>
      <c r="DY1093">
        <v>1</v>
      </c>
      <c r="DZ1093">
        <v>1</v>
      </c>
      <c r="EA1093">
        <v>1</v>
      </c>
      <c r="EB1093">
        <v>1</v>
      </c>
      <c r="EC1093">
        <v>1</v>
      </c>
      <c r="ED1093">
        <v>1</v>
      </c>
      <c r="EE1093">
        <v>1</v>
      </c>
      <c r="EF1093">
        <v>1</v>
      </c>
    </row>
    <row r="1094" spans="1:205" x14ac:dyDescent="0.25">
      <c r="A1094" t="s">
        <v>239</v>
      </c>
      <c r="B1094" t="s">
        <v>240</v>
      </c>
      <c r="C1094" s="3">
        <f>-5/60</f>
        <v>-8.3333333333333329E-2</v>
      </c>
      <c r="D1094" s="3">
        <f>109+16/60</f>
        <v>109.26666666666667</v>
      </c>
      <c r="E1094" t="s">
        <v>15</v>
      </c>
      <c r="F1094" t="s">
        <v>77</v>
      </c>
      <c r="G1094" t="s">
        <v>106</v>
      </c>
      <c r="I1094" t="s">
        <v>15</v>
      </c>
      <c r="J1094" t="s">
        <v>12</v>
      </c>
      <c r="K1094" t="s">
        <v>15</v>
      </c>
      <c r="L1094" t="s">
        <v>241</v>
      </c>
      <c r="M1094" t="s">
        <v>977</v>
      </c>
      <c r="O1094">
        <v>9.4</v>
      </c>
      <c r="AZ1094">
        <v>1</v>
      </c>
      <c r="BA1094">
        <v>1</v>
      </c>
      <c r="BB1094">
        <v>1</v>
      </c>
      <c r="BC1094">
        <v>1</v>
      </c>
      <c r="BD1094">
        <v>1</v>
      </c>
      <c r="BE1094">
        <v>1</v>
      </c>
      <c r="BF1094">
        <v>1</v>
      </c>
      <c r="BG1094">
        <v>1</v>
      </c>
      <c r="BH1094">
        <v>1</v>
      </c>
      <c r="BI1094">
        <v>1</v>
      </c>
      <c r="BJ1094">
        <v>1</v>
      </c>
      <c r="BK1094">
        <v>1</v>
      </c>
      <c r="BL1094">
        <v>1</v>
      </c>
      <c r="BM1094">
        <v>1</v>
      </c>
      <c r="BN1094">
        <v>1</v>
      </c>
      <c r="BO1094">
        <v>1</v>
      </c>
      <c r="BP1094">
        <v>1</v>
      </c>
      <c r="BQ1094">
        <v>1</v>
      </c>
      <c r="BR1094">
        <v>1</v>
      </c>
    </row>
    <row r="1095" spans="1:205" x14ac:dyDescent="0.25">
      <c r="A1095" t="s">
        <v>303</v>
      </c>
      <c r="B1095" t="s">
        <v>240</v>
      </c>
      <c r="C1095" s="3">
        <v>-6.32</v>
      </c>
      <c r="D1095" s="3">
        <v>106.68</v>
      </c>
      <c r="E1095" t="s">
        <v>12</v>
      </c>
      <c r="F1095" t="s">
        <v>8</v>
      </c>
      <c r="G1095" t="s">
        <v>106</v>
      </c>
      <c r="I1095" t="s">
        <v>15</v>
      </c>
      <c r="J1095" t="s">
        <v>12</v>
      </c>
      <c r="K1095" t="s">
        <v>15</v>
      </c>
      <c r="L1095" t="s">
        <v>304</v>
      </c>
      <c r="M1095" t="s">
        <v>1042</v>
      </c>
      <c r="N1095" t="s">
        <v>302</v>
      </c>
      <c r="O1095">
        <f>AVERAGE(23,26.1,21,20.2,19.2,18.5)</f>
        <v>21.333333333333332</v>
      </c>
      <c r="FX1095">
        <v>1</v>
      </c>
      <c r="FY1095">
        <v>1</v>
      </c>
      <c r="FZ1095">
        <v>1</v>
      </c>
      <c r="GA1095">
        <v>1</v>
      </c>
    </row>
    <row r="1096" spans="1:205" x14ac:dyDescent="0.25">
      <c r="A1096" t="s">
        <v>289</v>
      </c>
      <c r="B1096" t="s">
        <v>290</v>
      </c>
      <c r="C1096" s="3">
        <v>31.3</v>
      </c>
      <c r="D1096" s="3">
        <v>48.65</v>
      </c>
      <c r="E1096" t="s">
        <v>34</v>
      </c>
      <c r="F1096" t="s">
        <v>77</v>
      </c>
      <c r="G1096" t="s">
        <v>291</v>
      </c>
      <c r="I1096" t="s">
        <v>12</v>
      </c>
      <c r="J1096" t="s">
        <v>12</v>
      </c>
      <c r="K1096" t="s">
        <v>12</v>
      </c>
      <c r="L1096" t="s">
        <v>292</v>
      </c>
      <c r="M1096" t="s">
        <v>1049</v>
      </c>
      <c r="O1096">
        <v>65.599999999999994</v>
      </c>
      <c r="P1096">
        <v>52.7</v>
      </c>
      <c r="GR1096">
        <v>1</v>
      </c>
    </row>
    <row r="1097" spans="1:205" x14ac:dyDescent="0.25">
      <c r="A1097" t="s">
        <v>289</v>
      </c>
      <c r="B1097" t="s">
        <v>290</v>
      </c>
      <c r="C1097" s="3">
        <v>31.3</v>
      </c>
      <c r="D1097" s="3">
        <v>48.65</v>
      </c>
      <c r="E1097" t="s">
        <v>34</v>
      </c>
      <c r="F1097" t="s">
        <v>77</v>
      </c>
      <c r="G1097" t="s">
        <v>291</v>
      </c>
      <c r="I1097" t="s">
        <v>12</v>
      </c>
      <c r="J1097" t="s">
        <v>12</v>
      </c>
      <c r="K1097" t="s">
        <v>12</v>
      </c>
      <c r="L1097" t="s">
        <v>292</v>
      </c>
      <c r="M1097" t="s">
        <v>1049</v>
      </c>
      <c r="O1097">
        <v>78.8</v>
      </c>
      <c r="P1097">
        <v>110.8</v>
      </c>
      <c r="GS1097">
        <v>1</v>
      </c>
    </row>
    <row r="1098" spans="1:205" x14ac:dyDescent="0.25">
      <c r="A1098" t="s">
        <v>289</v>
      </c>
      <c r="B1098" t="s">
        <v>290</v>
      </c>
      <c r="C1098" s="3">
        <v>31.3</v>
      </c>
      <c r="D1098" s="3">
        <v>48.65</v>
      </c>
      <c r="E1098" t="s">
        <v>34</v>
      </c>
      <c r="F1098" t="s">
        <v>77</v>
      </c>
      <c r="G1098" t="s">
        <v>291</v>
      </c>
      <c r="I1098" t="s">
        <v>12</v>
      </c>
      <c r="J1098" t="s">
        <v>12</v>
      </c>
      <c r="K1098" t="s">
        <v>12</v>
      </c>
      <c r="L1098" t="s">
        <v>292</v>
      </c>
      <c r="M1098" t="s">
        <v>1049</v>
      </c>
      <c r="O1098">
        <v>105.8</v>
      </c>
      <c r="P1098">
        <v>151.1</v>
      </c>
      <c r="GT1098">
        <v>1</v>
      </c>
    </row>
    <row r="1099" spans="1:205" x14ac:dyDescent="0.25">
      <c r="A1099" t="s">
        <v>289</v>
      </c>
      <c r="B1099" t="s">
        <v>290</v>
      </c>
      <c r="C1099" s="3">
        <v>31.3</v>
      </c>
      <c r="D1099" s="3">
        <v>48.65</v>
      </c>
      <c r="E1099" t="s">
        <v>34</v>
      </c>
      <c r="F1099" t="s">
        <v>77</v>
      </c>
      <c r="G1099" t="s">
        <v>291</v>
      </c>
      <c r="I1099" t="s">
        <v>12</v>
      </c>
      <c r="J1099" t="s">
        <v>12</v>
      </c>
      <c r="K1099" t="s">
        <v>12</v>
      </c>
      <c r="L1099" t="s">
        <v>292</v>
      </c>
      <c r="M1099" t="s">
        <v>1049</v>
      </c>
      <c r="O1099">
        <v>65.7</v>
      </c>
      <c r="P1099">
        <v>45.5</v>
      </c>
      <c r="GU1099">
        <v>1</v>
      </c>
    </row>
    <row r="1100" spans="1:205" x14ac:dyDescent="0.25">
      <c r="A1100" t="s">
        <v>289</v>
      </c>
      <c r="B1100" t="s">
        <v>290</v>
      </c>
      <c r="C1100" s="3">
        <v>31.3</v>
      </c>
      <c r="D1100" s="3">
        <v>48.65</v>
      </c>
      <c r="E1100" t="s">
        <v>34</v>
      </c>
      <c r="F1100" t="s">
        <v>77</v>
      </c>
      <c r="G1100" t="s">
        <v>291</v>
      </c>
      <c r="I1100" t="s">
        <v>12</v>
      </c>
      <c r="J1100" t="s">
        <v>12</v>
      </c>
      <c r="K1100" t="s">
        <v>12</v>
      </c>
      <c r="L1100" t="s">
        <v>292</v>
      </c>
      <c r="M1100" t="s">
        <v>1049</v>
      </c>
      <c r="O1100">
        <v>59.7</v>
      </c>
      <c r="P1100">
        <v>25.8</v>
      </c>
      <c r="GV1100">
        <v>1</v>
      </c>
    </row>
    <row r="1101" spans="1:205" x14ac:dyDescent="0.25">
      <c r="A1101" t="s">
        <v>289</v>
      </c>
      <c r="B1101" t="s">
        <v>290</v>
      </c>
      <c r="C1101" s="3">
        <v>31.3</v>
      </c>
      <c r="D1101" s="3">
        <v>48.65</v>
      </c>
      <c r="E1101" t="s">
        <v>34</v>
      </c>
      <c r="F1101" t="s">
        <v>77</v>
      </c>
      <c r="G1101" t="s">
        <v>291</v>
      </c>
      <c r="I1101" t="s">
        <v>12</v>
      </c>
      <c r="J1101" t="s">
        <v>12</v>
      </c>
      <c r="K1101" t="s">
        <v>12</v>
      </c>
      <c r="L1101" t="s">
        <v>292</v>
      </c>
      <c r="M1101" t="s">
        <v>1049</v>
      </c>
      <c r="O1101">
        <v>49.3</v>
      </c>
      <c r="P1101">
        <v>25.2</v>
      </c>
      <c r="GW1101">
        <v>1</v>
      </c>
    </row>
    <row r="1102" spans="1:205" x14ac:dyDescent="0.25">
      <c r="A1102" t="s">
        <v>348</v>
      </c>
      <c r="B1102" t="s">
        <v>290</v>
      </c>
      <c r="C1102" s="3">
        <v>60.52</v>
      </c>
      <c r="D1102" s="3">
        <v>29.32</v>
      </c>
      <c r="E1102" t="s">
        <v>12</v>
      </c>
      <c r="F1102" t="s">
        <v>19</v>
      </c>
      <c r="G1102" t="s">
        <v>341</v>
      </c>
      <c r="I1102" t="s">
        <v>12</v>
      </c>
      <c r="J1102" t="s">
        <v>12</v>
      </c>
      <c r="K1102" t="s">
        <v>12</v>
      </c>
      <c r="L1102" t="s">
        <v>349</v>
      </c>
      <c r="M1102" t="s">
        <v>1027</v>
      </c>
      <c r="O1102">
        <v>32</v>
      </c>
      <c r="GC1102">
        <v>1</v>
      </c>
      <c r="GO1102">
        <v>1</v>
      </c>
    </row>
    <row r="1103" spans="1:205" x14ac:dyDescent="0.25">
      <c r="A1103" t="s">
        <v>348</v>
      </c>
      <c r="B1103" t="s">
        <v>290</v>
      </c>
      <c r="C1103" s="3">
        <v>60.52</v>
      </c>
      <c r="D1103" s="3">
        <v>29.32</v>
      </c>
      <c r="E1103" t="s">
        <v>12</v>
      </c>
      <c r="F1103" t="s">
        <v>19</v>
      </c>
      <c r="G1103" t="s">
        <v>341</v>
      </c>
      <c r="I1103" t="s">
        <v>12</v>
      </c>
      <c r="J1103" t="s">
        <v>12</v>
      </c>
      <c r="K1103" t="s">
        <v>12</v>
      </c>
      <c r="L1103" t="s">
        <v>349</v>
      </c>
      <c r="M1103" t="s">
        <v>1027</v>
      </c>
      <c r="O1103">
        <v>34</v>
      </c>
      <c r="GD1103">
        <v>1</v>
      </c>
      <c r="GP1103">
        <v>1</v>
      </c>
    </row>
    <row r="1104" spans="1:205" x14ac:dyDescent="0.25">
      <c r="A1104" t="s">
        <v>348</v>
      </c>
      <c r="B1104" t="s">
        <v>290</v>
      </c>
      <c r="C1104" s="3">
        <v>60.52</v>
      </c>
      <c r="D1104" s="3">
        <v>29.32</v>
      </c>
      <c r="E1104" t="s">
        <v>12</v>
      </c>
      <c r="F1104" t="s">
        <v>19</v>
      </c>
      <c r="G1104" t="s">
        <v>341</v>
      </c>
      <c r="I1104" t="s">
        <v>12</v>
      </c>
      <c r="J1104" t="s">
        <v>12</v>
      </c>
      <c r="K1104" t="s">
        <v>12</v>
      </c>
      <c r="L1104" t="s">
        <v>349</v>
      </c>
      <c r="M1104" t="s">
        <v>1027</v>
      </c>
      <c r="O1104">
        <v>28</v>
      </c>
      <c r="GE1104">
        <v>1</v>
      </c>
      <c r="GQ1104">
        <v>1</v>
      </c>
    </row>
    <row r="1105" spans="1:196" x14ac:dyDescent="0.25">
      <c r="A1105" t="s">
        <v>348</v>
      </c>
      <c r="B1105" t="s">
        <v>290</v>
      </c>
      <c r="C1105" s="3">
        <v>60.52</v>
      </c>
      <c r="D1105" s="3">
        <v>29.32</v>
      </c>
      <c r="E1105" t="s">
        <v>12</v>
      </c>
      <c r="F1105" t="s">
        <v>19</v>
      </c>
      <c r="G1105" t="s">
        <v>341</v>
      </c>
      <c r="I1105" t="s">
        <v>12</v>
      </c>
      <c r="J1105" t="s">
        <v>12</v>
      </c>
      <c r="K1105" t="s">
        <v>12</v>
      </c>
      <c r="L1105" t="s">
        <v>349</v>
      </c>
      <c r="M1105" t="s">
        <v>1027</v>
      </c>
      <c r="O1105">
        <v>30</v>
      </c>
      <c r="GF1105">
        <v>1</v>
      </c>
    </row>
    <row r="1106" spans="1:196" x14ac:dyDescent="0.25">
      <c r="A1106" t="s">
        <v>348</v>
      </c>
      <c r="B1106" t="s">
        <v>290</v>
      </c>
      <c r="C1106" s="3">
        <v>60.52</v>
      </c>
      <c r="D1106" s="3">
        <v>29.32</v>
      </c>
      <c r="E1106" t="s">
        <v>12</v>
      </c>
      <c r="F1106" t="s">
        <v>19</v>
      </c>
      <c r="G1106" t="s">
        <v>341</v>
      </c>
      <c r="I1106" t="s">
        <v>12</v>
      </c>
      <c r="J1106" t="s">
        <v>12</v>
      </c>
      <c r="K1106" t="s">
        <v>12</v>
      </c>
      <c r="L1106" t="s">
        <v>349</v>
      </c>
      <c r="M1106" t="s">
        <v>1027</v>
      </c>
      <c r="O1106">
        <v>35</v>
      </c>
      <c r="GG1106">
        <v>1</v>
      </c>
    </row>
    <row r="1107" spans="1:196" x14ac:dyDescent="0.25">
      <c r="A1107" t="s">
        <v>348</v>
      </c>
      <c r="B1107" t="s">
        <v>290</v>
      </c>
      <c r="C1107" s="3">
        <v>60.52</v>
      </c>
      <c r="D1107" s="3">
        <v>29.32</v>
      </c>
      <c r="E1107" t="s">
        <v>12</v>
      </c>
      <c r="F1107" t="s">
        <v>19</v>
      </c>
      <c r="G1107" t="s">
        <v>341</v>
      </c>
      <c r="I1107" t="s">
        <v>12</v>
      </c>
      <c r="J1107" t="s">
        <v>12</v>
      </c>
      <c r="K1107" t="s">
        <v>12</v>
      </c>
      <c r="L1107" t="s">
        <v>349</v>
      </c>
      <c r="M1107" t="s">
        <v>1027</v>
      </c>
      <c r="O1107">
        <v>33</v>
      </c>
      <c r="GH1107">
        <v>1</v>
      </c>
    </row>
    <row r="1108" spans="1:196" x14ac:dyDescent="0.25">
      <c r="A1108" t="s">
        <v>348</v>
      </c>
      <c r="B1108" t="s">
        <v>290</v>
      </c>
      <c r="C1108" s="3">
        <v>60.52</v>
      </c>
      <c r="D1108" s="3">
        <v>29.32</v>
      </c>
      <c r="E1108" t="s">
        <v>12</v>
      </c>
      <c r="F1108" t="s">
        <v>19</v>
      </c>
      <c r="G1108" t="s">
        <v>341</v>
      </c>
      <c r="I1108" t="s">
        <v>12</v>
      </c>
      <c r="J1108" t="s">
        <v>12</v>
      </c>
      <c r="K1108" t="s">
        <v>12</v>
      </c>
      <c r="L1108" t="s">
        <v>349</v>
      </c>
      <c r="M1108" t="s">
        <v>1027</v>
      </c>
      <c r="O1108">
        <v>43</v>
      </c>
      <c r="FW1108">
        <v>1</v>
      </c>
      <c r="GI1108">
        <v>1</v>
      </c>
    </row>
    <row r="1109" spans="1:196" x14ac:dyDescent="0.25">
      <c r="A1109" t="s">
        <v>348</v>
      </c>
      <c r="B1109" t="s">
        <v>290</v>
      </c>
      <c r="C1109" s="3">
        <v>60.52</v>
      </c>
      <c r="D1109" s="3">
        <v>29.32</v>
      </c>
      <c r="E1109" t="s">
        <v>12</v>
      </c>
      <c r="F1109" t="s">
        <v>19</v>
      </c>
      <c r="G1109" t="s">
        <v>341</v>
      </c>
      <c r="I1109" t="s">
        <v>12</v>
      </c>
      <c r="J1109" t="s">
        <v>12</v>
      </c>
      <c r="K1109" t="s">
        <v>12</v>
      </c>
      <c r="L1109" t="s">
        <v>349</v>
      </c>
      <c r="M1109" t="s">
        <v>1027</v>
      </c>
      <c r="O1109">
        <v>32</v>
      </c>
      <c r="FX1109">
        <v>1</v>
      </c>
      <c r="GJ1109">
        <v>1</v>
      </c>
    </row>
    <row r="1110" spans="1:196" x14ac:dyDescent="0.25">
      <c r="A1110" t="s">
        <v>348</v>
      </c>
      <c r="B1110" t="s">
        <v>290</v>
      </c>
      <c r="C1110" s="3">
        <v>60.52</v>
      </c>
      <c r="D1110" s="3">
        <v>29.32</v>
      </c>
      <c r="E1110" t="s">
        <v>12</v>
      </c>
      <c r="F1110" t="s">
        <v>19</v>
      </c>
      <c r="G1110" t="s">
        <v>341</v>
      </c>
      <c r="I1110" t="s">
        <v>12</v>
      </c>
      <c r="J1110" t="s">
        <v>12</v>
      </c>
      <c r="K1110" t="s">
        <v>12</v>
      </c>
      <c r="L1110" t="s">
        <v>349</v>
      </c>
      <c r="M1110" t="s">
        <v>1027</v>
      </c>
      <c r="O1110">
        <v>24</v>
      </c>
      <c r="FY1110">
        <v>1</v>
      </c>
      <c r="GK1110">
        <v>1</v>
      </c>
    </row>
    <row r="1111" spans="1:196" x14ac:dyDescent="0.25">
      <c r="A1111" t="s">
        <v>348</v>
      </c>
      <c r="B1111" t="s">
        <v>290</v>
      </c>
      <c r="C1111" s="3">
        <v>60.52</v>
      </c>
      <c r="D1111" s="3">
        <v>29.32</v>
      </c>
      <c r="E1111" t="s">
        <v>12</v>
      </c>
      <c r="F1111" t="s">
        <v>19</v>
      </c>
      <c r="G1111" t="s">
        <v>341</v>
      </c>
      <c r="I1111" t="s">
        <v>12</v>
      </c>
      <c r="J1111" t="s">
        <v>12</v>
      </c>
      <c r="K1111" t="s">
        <v>12</v>
      </c>
      <c r="L1111" t="s">
        <v>349</v>
      </c>
      <c r="M1111" t="s">
        <v>1027</v>
      </c>
      <c r="O1111">
        <v>32</v>
      </c>
      <c r="FZ1111">
        <v>1</v>
      </c>
      <c r="GL1111">
        <v>1</v>
      </c>
    </row>
    <row r="1112" spans="1:196" x14ac:dyDescent="0.25">
      <c r="A1112" t="s">
        <v>348</v>
      </c>
      <c r="B1112" t="s">
        <v>290</v>
      </c>
      <c r="C1112" s="3">
        <v>60.52</v>
      </c>
      <c r="D1112" s="3">
        <v>29.32</v>
      </c>
      <c r="E1112" t="s">
        <v>12</v>
      </c>
      <c r="F1112" t="s">
        <v>19</v>
      </c>
      <c r="G1112" t="s">
        <v>341</v>
      </c>
      <c r="I1112" t="s">
        <v>12</v>
      </c>
      <c r="J1112" t="s">
        <v>12</v>
      </c>
      <c r="K1112" t="s">
        <v>12</v>
      </c>
      <c r="L1112" t="s">
        <v>349</v>
      </c>
      <c r="M1112" t="s">
        <v>1027</v>
      </c>
      <c r="O1112">
        <v>27</v>
      </c>
      <c r="GA1112">
        <v>1</v>
      </c>
      <c r="GM1112">
        <v>1</v>
      </c>
    </row>
    <row r="1113" spans="1:196" x14ac:dyDescent="0.25">
      <c r="A1113" t="s">
        <v>348</v>
      </c>
      <c r="B1113" t="s">
        <v>290</v>
      </c>
      <c r="C1113" s="3">
        <v>60.52</v>
      </c>
      <c r="D1113" s="3">
        <v>29.32</v>
      </c>
      <c r="E1113" t="s">
        <v>12</v>
      </c>
      <c r="F1113" t="s">
        <v>19</v>
      </c>
      <c r="G1113" t="s">
        <v>341</v>
      </c>
      <c r="I1113" t="s">
        <v>12</v>
      </c>
      <c r="J1113" t="s">
        <v>12</v>
      </c>
      <c r="K1113" t="s">
        <v>12</v>
      </c>
      <c r="L1113" t="s">
        <v>349</v>
      </c>
      <c r="M1113" t="s">
        <v>1027</v>
      </c>
      <c r="O1113">
        <v>29</v>
      </c>
      <c r="GB1113">
        <v>1</v>
      </c>
      <c r="GN1113">
        <v>1</v>
      </c>
    </row>
    <row r="1114" spans="1:196" x14ac:dyDescent="0.25">
      <c r="A1114" t="s">
        <v>637</v>
      </c>
      <c r="B1114" t="s">
        <v>632</v>
      </c>
      <c r="C1114" s="3">
        <f>33+48/60</f>
        <v>33.799999999999997</v>
      </c>
      <c r="D1114" s="3" t="s">
        <v>642</v>
      </c>
      <c r="E1114" t="s">
        <v>12</v>
      </c>
      <c r="F1114" t="s">
        <v>9</v>
      </c>
      <c r="G1114" t="s">
        <v>106</v>
      </c>
      <c r="I1114" t="s">
        <v>12</v>
      </c>
      <c r="J1114" t="s">
        <v>12</v>
      </c>
      <c r="K1114" t="s">
        <v>15</v>
      </c>
      <c r="L1114" t="s">
        <v>625</v>
      </c>
      <c r="M1114" t="s">
        <v>788</v>
      </c>
      <c r="O1114">
        <v>95</v>
      </c>
      <c r="ES1114">
        <v>1</v>
      </c>
      <c r="ET1114">
        <v>1</v>
      </c>
      <c r="EU1114">
        <v>1</v>
      </c>
      <c r="EV1114">
        <v>1</v>
      </c>
      <c r="EW1114">
        <v>1</v>
      </c>
      <c r="EX1114">
        <v>1</v>
      </c>
      <c r="EY1114">
        <v>1</v>
      </c>
      <c r="EZ1114">
        <v>1</v>
      </c>
      <c r="FA1114">
        <v>1</v>
      </c>
      <c r="FB1114">
        <v>1</v>
      </c>
      <c r="FC1114">
        <v>1</v>
      </c>
      <c r="FD1114">
        <v>1</v>
      </c>
    </row>
    <row r="1115" spans="1:196" x14ac:dyDescent="0.25">
      <c r="A1115" t="s">
        <v>634</v>
      </c>
      <c r="B1115" t="s">
        <v>632</v>
      </c>
      <c r="C1115" s="3">
        <v>33.32</v>
      </c>
      <c r="D1115" s="3">
        <v>44.42</v>
      </c>
      <c r="E1115" t="s">
        <v>12</v>
      </c>
      <c r="F1115" t="s">
        <v>9</v>
      </c>
      <c r="G1115" t="s">
        <v>106</v>
      </c>
      <c r="I1115" t="s">
        <v>12</v>
      </c>
      <c r="J1115" t="s">
        <v>12</v>
      </c>
      <c r="K1115" t="s">
        <v>15</v>
      </c>
      <c r="L1115" t="s">
        <v>625</v>
      </c>
      <c r="M1115" t="s">
        <v>788</v>
      </c>
      <c r="O1115">
        <v>250</v>
      </c>
      <c r="ES1115">
        <v>1</v>
      </c>
      <c r="ET1115">
        <v>1</v>
      </c>
      <c r="EU1115">
        <v>1</v>
      </c>
      <c r="EV1115">
        <v>1</v>
      </c>
      <c r="EW1115">
        <v>1</v>
      </c>
      <c r="EX1115">
        <v>1</v>
      </c>
      <c r="EY1115">
        <v>1</v>
      </c>
      <c r="EZ1115">
        <v>1</v>
      </c>
      <c r="FA1115">
        <v>1</v>
      </c>
      <c r="FB1115">
        <v>1</v>
      </c>
      <c r="FC1115">
        <v>1</v>
      </c>
      <c r="FD1115">
        <v>1</v>
      </c>
      <c r="FE1115">
        <v>0.5</v>
      </c>
    </row>
    <row r="1116" spans="1:196" x14ac:dyDescent="0.25">
      <c r="A1116" t="s">
        <v>633</v>
      </c>
      <c r="B1116" t="s">
        <v>632</v>
      </c>
      <c r="C1116" s="3">
        <f>33+56/60</f>
        <v>33.93333333333333</v>
      </c>
      <c r="D1116" s="3">
        <f>44+22/60</f>
        <v>44.366666666666667</v>
      </c>
      <c r="E1116" t="s">
        <v>12</v>
      </c>
      <c r="F1116" t="s">
        <v>9</v>
      </c>
      <c r="G1116" t="s">
        <v>106</v>
      </c>
      <c r="I1116" t="s">
        <v>12</v>
      </c>
      <c r="J1116" t="s">
        <v>12</v>
      </c>
      <c r="K1116" t="s">
        <v>15</v>
      </c>
      <c r="L1116" t="s">
        <v>625</v>
      </c>
      <c r="M1116" t="s">
        <v>788</v>
      </c>
      <c r="O1116">
        <v>184</v>
      </c>
      <c r="ES1116">
        <v>0.5</v>
      </c>
      <c r="ET1116">
        <v>1</v>
      </c>
      <c r="EU1116">
        <v>1</v>
      </c>
      <c r="EV1116">
        <v>1</v>
      </c>
      <c r="EW1116">
        <v>1</v>
      </c>
      <c r="EX1116">
        <v>1</v>
      </c>
      <c r="EY1116">
        <v>1</v>
      </c>
      <c r="EZ1116">
        <v>1</v>
      </c>
      <c r="FA1116">
        <v>1</v>
      </c>
      <c r="FB1116">
        <v>1</v>
      </c>
      <c r="FC1116">
        <v>1</v>
      </c>
      <c r="FD1116">
        <v>1</v>
      </c>
      <c r="FE1116">
        <v>1</v>
      </c>
      <c r="FF1116">
        <v>1</v>
      </c>
      <c r="FG1116">
        <v>1</v>
      </c>
    </row>
    <row r="1117" spans="1:196" x14ac:dyDescent="0.25">
      <c r="A1117" t="s">
        <v>636</v>
      </c>
      <c r="B1117" t="s">
        <v>632</v>
      </c>
      <c r="C1117" s="3">
        <f>33+31/60+46/3600</f>
        <v>33.529444444444444</v>
      </c>
      <c r="D1117" s="3">
        <f>44+16/60+39/3600</f>
        <v>44.277499999999996</v>
      </c>
      <c r="E1117" t="s">
        <v>12</v>
      </c>
      <c r="F1117" t="s">
        <v>9</v>
      </c>
      <c r="G1117" t="s">
        <v>106</v>
      </c>
      <c r="I1117" t="s">
        <v>12</v>
      </c>
      <c r="J1117" t="s">
        <v>12</v>
      </c>
      <c r="K1117" t="s">
        <v>15</v>
      </c>
      <c r="L1117" t="s">
        <v>625</v>
      </c>
      <c r="M1117" t="s">
        <v>788</v>
      </c>
      <c r="O1117">
        <v>213</v>
      </c>
      <c r="ET1117">
        <v>1</v>
      </c>
      <c r="EU1117">
        <v>1</v>
      </c>
      <c r="EV1117">
        <v>1</v>
      </c>
      <c r="EW1117">
        <v>1</v>
      </c>
      <c r="EX1117">
        <v>1</v>
      </c>
      <c r="EY1117">
        <v>1</v>
      </c>
      <c r="EZ1117">
        <v>1</v>
      </c>
      <c r="FA1117">
        <v>1</v>
      </c>
      <c r="FB1117">
        <v>1</v>
      </c>
      <c r="FC1117">
        <v>1</v>
      </c>
      <c r="FD1117">
        <v>1</v>
      </c>
      <c r="FE1117">
        <v>1</v>
      </c>
      <c r="FF1117">
        <v>0.5</v>
      </c>
    </row>
    <row r="1118" spans="1:196" x14ac:dyDescent="0.25">
      <c r="A1118" t="s">
        <v>638</v>
      </c>
      <c r="B1118" t="s">
        <v>632</v>
      </c>
      <c r="C1118" s="3">
        <v>30.94</v>
      </c>
      <c r="D1118" s="3">
        <v>46.1</v>
      </c>
      <c r="E1118" t="s">
        <v>12</v>
      </c>
      <c r="F1118" t="s">
        <v>9</v>
      </c>
      <c r="G1118" t="s">
        <v>106</v>
      </c>
      <c r="I1118" t="s">
        <v>12</v>
      </c>
      <c r="J1118" t="s">
        <v>12</v>
      </c>
      <c r="K1118" t="s">
        <v>15</v>
      </c>
      <c r="L1118" t="s">
        <v>625</v>
      </c>
      <c r="M1118" t="s">
        <v>788</v>
      </c>
      <c r="O1118">
        <v>303</v>
      </c>
      <c r="ES1118">
        <v>0.5</v>
      </c>
      <c r="ET1118">
        <v>1</v>
      </c>
      <c r="EU1118">
        <v>1</v>
      </c>
      <c r="EV1118">
        <v>1</v>
      </c>
      <c r="EW1118">
        <v>1</v>
      </c>
      <c r="EX1118">
        <v>1</v>
      </c>
      <c r="EY1118">
        <v>1</v>
      </c>
      <c r="EZ1118">
        <v>1</v>
      </c>
      <c r="FA1118">
        <v>1</v>
      </c>
      <c r="FB1118">
        <v>1</v>
      </c>
      <c r="FC1118">
        <v>1</v>
      </c>
      <c r="FD1118">
        <v>1</v>
      </c>
      <c r="FE1118">
        <v>1</v>
      </c>
      <c r="FF1118">
        <v>0.5</v>
      </c>
    </row>
    <row r="1119" spans="1:196" x14ac:dyDescent="0.25">
      <c r="A1119" t="s">
        <v>635</v>
      </c>
      <c r="B1119" t="s">
        <v>632</v>
      </c>
      <c r="C1119" s="3">
        <v>34.6</v>
      </c>
      <c r="D1119" s="3">
        <v>43.69</v>
      </c>
      <c r="E1119" t="s">
        <v>12</v>
      </c>
      <c r="F1119" t="s">
        <v>9</v>
      </c>
      <c r="G1119" t="s">
        <v>106</v>
      </c>
      <c r="I1119" t="s">
        <v>12</v>
      </c>
      <c r="J1119" t="s">
        <v>12</v>
      </c>
      <c r="K1119" t="s">
        <v>15</v>
      </c>
      <c r="L1119" t="s">
        <v>625</v>
      </c>
      <c r="M1119" t="s">
        <v>788</v>
      </c>
      <c r="O1119">
        <v>298</v>
      </c>
      <c r="ES1119">
        <v>1</v>
      </c>
      <c r="ET1119">
        <v>1</v>
      </c>
      <c r="EU1119">
        <v>1</v>
      </c>
      <c r="EV1119">
        <v>1</v>
      </c>
      <c r="EW1119">
        <v>1</v>
      </c>
      <c r="EX1119">
        <v>1</v>
      </c>
      <c r="EY1119">
        <v>1</v>
      </c>
      <c r="EZ1119">
        <v>1</v>
      </c>
      <c r="FA1119">
        <v>1</v>
      </c>
      <c r="FB1119">
        <v>1</v>
      </c>
      <c r="FC1119">
        <v>1</v>
      </c>
      <c r="FD1119">
        <v>1</v>
      </c>
      <c r="FE1119">
        <v>1</v>
      </c>
      <c r="FF1119">
        <v>1</v>
      </c>
      <c r="FG1119">
        <v>0.5</v>
      </c>
    </row>
    <row r="1120" spans="1:196" x14ac:dyDescent="0.25">
      <c r="A1120" t="s">
        <v>170</v>
      </c>
      <c r="B1120" t="s">
        <v>174</v>
      </c>
      <c r="C1120" s="3">
        <v>29.53</v>
      </c>
      <c r="D1120" s="3">
        <v>34.94</v>
      </c>
      <c r="E1120" t="s">
        <v>12</v>
      </c>
      <c r="F1120" t="s">
        <v>21</v>
      </c>
      <c r="G1120" t="s">
        <v>76</v>
      </c>
      <c r="I1120" t="s">
        <v>15</v>
      </c>
      <c r="J1120" t="s">
        <v>12</v>
      </c>
      <c r="K1120" t="s">
        <v>12</v>
      </c>
      <c r="L1120" t="s">
        <v>184</v>
      </c>
      <c r="M1120" t="s">
        <v>1090</v>
      </c>
      <c r="O1120">
        <v>21</v>
      </c>
      <c r="P1120">
        <v>4</v>
      </c>
      <c r="FE1120">
        <v>1</v>
      </c>
      <c r="FF1120">
        <v>1</v>
      </c>
      <c r="FG1120">
        <v>1</v>
      </c>
      <c r="FH1120">
        <v>1</v>
      </c>
      <c r="FI1120">
        <v>1</v>
      </c>
      <c r="FJ1120">
        <v>1</v>
      </c>
      <c r="FK1120">
        <v>1</v>
      </c>
      <c r="FL1120">
        <v>1</v>
      </c>
      <c r="FM1120">
        <v>1</v>
      </c>
      <c r="FN1120">
        <v>1</v>
      </c>
      <c r="FO1120">
        <v>1</v>
      </c>
      <c r="FP1120">
        <v>1</v>
      </c>
    </row>
    <row r="1121" spans="1:172" x14ac:dyDescent="0.25">
      <c r="A1121" t="s">
        <v>312</v>
      </c>
      <c r="B1121" t="s">
        <v>174</v>
      </c>
      <c r="C1121" s="3">
        <v>31.73</v>
      </c>
      <c r="D1121" s="3">
        <v>34.67</v>
      </c>
      <c r="E1121" t="s">
        <v>34</v>
      </c>
      <c r="F1121" t="s">
        <v>21</v>
      </c>
      <c r="G1121" t="s">
        <v>46</v>
      </c>
      <c r="I1121" t="s">
        <v>12</v>
      </c>
      <c r="J1121" t="s">
        <v>12</v>
      </c>
      <c r="K1121" t="s">
        <v>12</v>
      </c>
      <c r="L1121" t="s">
        <v>313</v>
      </c>
      <c r="M1121" t="s">
        <v>1019</v>
      </c>
      <c r="N1121" t="s">
        <v>262</v>
      </c>
      <c r="O1121">
        <v>24.8</v>
      </c>
      <c r="BO1121">
        <v>1</v>
      </c>
      <c r="BP1121">
        <v>1</v>
      </c>
      <c r="BQ1121">
        <v>1</v>
      </c>
      <c r="BR1121">
        <v>1</v>
      </c>
      <c r="BS1121">
        <v>1</v>
      </c>
      <c r="BT1121">
        <v>1</v>
      </c>
      <c r="BU1121">
        <v>1</v>
      </c>
      <c r="BV1121">
        <v>1</v>
      </c>
      <c r="BW1121">
        <v>1</v>
      </c>
      <c r="BX1121">
        <v>1</v>
      </c>
    </row>
    <row r="1122" spans="1:172" x14ac:dyDescent="0.25">
      <c r="A1122" t="s">
        <v>171</v>
      </c>
      <c r="B1122" t="s">
        <v>174</v>
      </c>
      <c r="C1122" s="3">
        <v>32.82</v>
      </c>
      <c r="D1122" s="3">
        <v>34.97</v>
      </c>
      <c r="E1122" t="s">
        <v>12</v>
      </c>
      <c r="F1122" t="s">
        <v>21</v>
      </c>
      <c r="G1122" t="s">
        <v>106</v>
      </c>
      <c r="I1122" t="s">
        <v>15</v>
      </c>
      <c r="J1122" t="s">
        <v>15</v>
      </c>
      <c r="K1122" t="s">
        <v>12</v>
      </c>
      <c r="L1122" t="s">
        <v>298</v>
      </c>
      <c r="M1122" t="s">
        <v>1044</v>
      </c>
      <c r="O1122">
        <v>19.8</v>
      </c>
      <c r="P1122">
        <v>7.7</v>
      </c>
      <c r="FE1122">
        <v>1</v>
      </c>
      <c r="FF1122">
        <v>1</v>
      </c>
      <c r="FG1122">
        <v>1</v>
      </c>
      <c r="FH1122">
        <v>1</v>
      </c>
      <c r="FI1122">
        <v>1</v>
      </c>
      <c r="FJ1122">
        <v>1</v>
      </c>
      <c r="FK1122">
        <v>1</v>
      </c>
      <c r="FL1122">
        <v>1</v>
      </c>
      <c r="FM1122">
        <v>1</v>
      </c>
      <c r="FN1122">
        <v>1</v>
      </c>
      <c r="FO1122">
        <v>1</v>
      </c>
      <c r="FP1122">
        <v>1</v>
      </c>
    </row>
    <row r="1123" spans="1:172" x14ac:dyDescent="0.25">
      <c r="A1123" t="s">
        <v>171</v>
      </c>
      <c r="B1123" t="s">
        <v>174</v>
      </c>
      <c r="C1123" s="3">
        <v>32.82</v>
      </c>
      <c r="D1123" s="3">
        <v>34.97</v>
      </c>
      <c r="E1123" t="s">
        <v>12</v>
      </c>
      <c r="F1123" t="s">
        <v>21</v>
      </c>
      <c r="G1123" t="s">
        <v>76</v>
      </c>
      <c r="I1123" t="s">
        <v>15</v>
      </c>
      <c r="J1123" t="s">
        <v>12</v>
      </c>
      <c r="K1123" t="s">
        <v>12</v>
      </c>
      <c r="L1123" t="s">
        <v>184</v>
      </c>
      <c r="M1123" t="s">
        <v>1090</v>
      </c>
      <c r="O1123">
        <v>24</v>
      </c>
      <c r="P1123">
        <v>8</v>
      </c>
      <c r="FE1123">
        <v>1</v>
      </c>
      <c r="FF1123">
        <v>1</v>
      </c>
      <c r="FG1123">
        <v>1</v>
      </c>
      <c r="FH1123">
        <v>1</v>
      </c>
      <c r="FI1123">
        <v>1</v>
      </c>
      <c r="FJ1123">
        <v>1</v>
      </c>
      <c r="FK1123">
        <v>1</v>
      </c>
      <c r="FL1123">
        <v>1</v>
      </c>
      <c r="FM1123">
        <v>1</v>
      </c>
      <c r="FN1123">
        <v>1</v>
      </c>
      <c r="FO1123">
        <v>1</v>
      </c>
      <c r="FP1123">
        <v>1</v>
      </c>
    </row>
    <row r="1124" spans="1:172" x14ac:dyDescent="0.25">
      <c r="A1124" t="s">
        <v>317</v>
      </c>
      <c r="B1124" t="s">
        <v>174</v>
      </c>
      <c r="C1124" s="3">
        <f>30+51/60</f>
        <v>30.85</v>
      </c>
      <c r="D1124" s="3">
        <f>34+47/60</f>
        <v>34.783333333333331</v>
      </c>
      <c r="E1124" t="s">
        <v>15</v>
      </c>
      <c r="F1124" t="s">
        <v>20</v>
      </c>
      <c r="G1124" t="s">
        <v>106</v>
      </c>
      <c r="H1124">
        <v>50</v>
      </c>
      <c r="I1124" t="s">
        <v>15</v>
      </c>
      <c r="J1124" t="s">
        <v>12</v>
      </c>
      <c r="K1124" t="s">
        <v>15</v>
      </c>
      <c r="L1124" t="s">
        <v>797</v>
      </c>
      <c r="M1124" t="s">
        <v>796</v>
      </c>
      <c r="O1124">
        <v>15.8</v>
      </c>
      <c r="Q1124">
        <v>1</v>
      </c>
      <c r="R1124">
        <v>1</v>
      </c>
      <c r="S1124">
        <v>1</v>
      </c>
      <c r="T1124">
        <v>1</v>
      </c>
      <c r="U1124">
        <v>1</v>
      </c>
      <c r="V1124">
        <v>1</v>
      </c>
      <c r="W1124">
        <v>1</v>
      </c>
      <c r="X1124">
        <v>1</v>
      </c>
      <c r="Y1124">
        <v>1</v>
      </c>
      <c r="Z1124">
        <v>1</v>
      </c>
      <c r="AA1124">
        <v>1</v>
      </c>
      <c r="AB1124">
        <v>0.5</v>
      </c>
      <c r="AC1124">
        <v>1</v>
      </c>
      <c r="AD1124">
        <v>1</v>
      </c>
      <c r="AE1124">
        <v>1</v>
      </c>
      <c r="AF1124">
        <v>1</v>
      </c>
      <c r="AG1124">
        <v>1</v>
      </c>
      <c r="AH1124">
        <v>1</v>
      </c>
      <c r="AI1124">
        <v>1</v>
      </c>
      <c r="AJ1124">
        <v>1</v>
      </c>
      <c r="AK1124">
        <v>1</v>
      </c>
      <c r="AL1124">
        <v>1</v>
      </c>
      <c r="AM1124">
        <v>1</v>
      </c>
      <c r="AN1124">
        <v>1</v>
      </c>
      <c r="AO1124">
        <v>1</v>
      </c>
      <c r="AP1124">
        <v>1</v>
      </c>
      <c r="AQ1124">
        <v>1</v>
      </c>
      <c r="AR1124">
        <v>1</v>
      </c>
      <c r="AS1124">
        <v>1</v>
      </c>
      <c r="AT1124">
        <v>1</v>
      </c>
      <c r="AU1124">
        <v>1</v>
      </c>
      <c r="AV1124">
        <v>1</v>
      </c>
      <c r="AW1124">
        <v>1</v>
      </c>
      <c r="AX1124">
        <v>0.5</v>
      </c>
      <c r="AY1124">
        <v>1</v>
      </c>
      <c r="AZ1124">
        <v>1</v>
      </c>
      <c r="BA1124">
        <v>1</v>
      </c>
      <c r="BB1124">
        <v>1</v>
      </c>
      <c r="BC1124">
        <v>1</v>
      </c>
      <c r="BD1124">
        <v>1</v>
      </c>
      <c r="BE1124">
        <v>1</v>
      </c>
      <c r="BF1124">
        <v>1</v>
      </c>
      <c r="BG1124">
        <v>1</v>
      </c>
      <c r="BH1124">
        <v>1</v>
      </c>
      <c r="BI1124">
        <v>1</v>
      </c>
      <c r="BJ1124">
        <v>1</v>
      </c>
      <c r="BK1124">
        <v>1</v>
      </c>
    </row>
    <row r="1125" spans="1:172" x14ac:dyDescent="0.25">
      <c r="A1125" t="s">
        <v>172</v>
      </c>
      <c r="B1125" t="s">
        <v>174</v>
      </c>
      <c r="C1125" s="3">
        <v>32.049999999999997</v>
      </c>
      <c r="D1125" s="3">
        <v>34.78</v>
      </c>
      <c r="E1125" t="s">
        <v>12</v>
      </c>
      <c r="F1125" t="s">
        <v>21</v>
      </c>
      <c r="G1125" t="s">
        <v>106</v>
      </c>
      <c r="I1125" t="s">
        <v>15</v>
      </c>
      <c r="J1125" t="s">
        <v>15</v>
      </c>
      <c r="K1125" t="s">
        <v>12</v>
      </c>
      <c r="L1125" t="s">
        <v>298</v>
      </c>
      <c r="M1125" t="s">
        <v>1044</v>
      </c>
      <c r="O1125">
        <v>30.7</v>
      </c>
      <c r="P1125">
        <v>11.2</v>
      </c>
      <c r="FE1125">
        <v>1</v>
      </c>
      <c r="FF1125">
        <v>1</v>
      </c>
      <c r="FG1125">
        <v>1</v>
      </c>
      <c r="FH1125">
        <v>1</v>
      </c>
      <c r="FI1125">
        <v>1</v>
      </c>
      <c r="FJ1125">
        <v>1</v>
      </c>
      <c r="FK1125">
        <v>1</v>
      </c>
      <c r="FL1125">
        <v>1</v>
      </c>
      <c r="FM1125">
        <v>1</v>
      </c>
      <c r="FN1125">
        <v>1</v>
      </c>
      <c r="FO1125">
        <v>1</v>
      </c>
      <c r="FP1125">
        <v>1</v>
      </c>
    </row>
    <row r="1126" spans="1:172" x14ac:dyDescent="0.25">
      <c r="A1126" t="s">
        <v>172</v>
      </c>
      <c r="B1126" t="s">
        <v>174</v>
      </c>
      <c r="C1126" s="3">
        <v>32.049999999999997</v>
      </c>
      <c r="D1126" s="3">
        <v>34.78</v>
      </c>
      <c r="E1126" t="s">
        <v>12</v>
      </c>
      <c r="F1126" t="s">
        <v>21</v>
      </c>
      <c r="G1126" t="s">
        <v>76</v>
      </c>
      <c r="I1126" t="s">
        <v>15</v>
      </c>
      <c r="J1126" t="s">
        <v>12</v>
      </c>
      <c r="K1126" t="s">
        <v>12</v>
      </c>
      <c r="L1126" t="s">
        <v>184</v>
      </c>
      <c r="M1126" t="s">
        <v>1090</v>
      </c>
      <c r="O1126">
        <v>32</v>
      </c>
      <c r="P1126">
        <v>7</v>
      </c>
      <c r="FE1126">
        <v>1</v>
      </c>
      <c r="FF1126">
        <v>1</v>
      </c>
      <c r="FG1126">
        <v>1</v>
      </c>
      <c r="FH1126">
        <v>1</v>
      </c>
      <c r="FI1126">
        <v>1</v>
      </c>
      <c r="FJ1126">
        <v>1</v>
      </c>
      <c r="FK1126">
        <v>1</v>
      </c>
      <c r="FL1126">
        <v>1</v>
      </c>
      <c r="FM1126">
        <v>1</v>
      </c>
      <c r="FN1126">
        <v>1</v>
      </c>
      <c r="FO1126">
        <v>1</v>
      </c>
      <c r="FP1126">
        <v>1</v>
      </c>
    </row>
    <row r="1127" spans="1:172" x14ac:dyDescent="0.25">
      <c r="A1127" t="s">
        <v>173</v>
      </c>
      <c r="B1127" t="s">
        <v>174</v>
      </c>
      <c r="C1127" s="3">
        <v>31.78</v>
      </c>
      <c r="D1127" s="3">
        <v>35.200000000000003</v>
      </c>
      <c r="E1127" t="s">
        <v>12</v>
      </c>
      <c r="F1127" t="s">
        <v>21</v>
      </c>
      <c r="G1127" t="s">
        <v>106</v>
      </c>
      <c r="I1127" t="s">
        <v>15</v>
      </c>
      <c r="J1127" t="s">
        <v>15</v>
      </c>
      <c r="K1127" t="s">
        <v>12</v>
      </c>
      <c r="L1127" t="s">
        <v>298</v>
      </c>
      <c r="M1127" t="s">
        <v>1044</v>
      </c>
      <c r="O1127">
        <v>21.7</v>
      </c>
      <c r="P1127">
        <v>7.5</v>
      </c>
      <c r="FE1127">
        <v>1</v>
      </c>
      <c r="FF1127">
        <v>1</v>
      </c>
      <c r="FG1127">
        <v>1</v>
      </c>
      <c r="FH1127">
        <v>1</v>
      </c>
      <c r="FI1127">
        <v>1</v>
      </c>
      <c r="FJ1127">
        <v>1</v>
      </c>
      <c r="FK1127">
        <v>1</v>
      </c>
      <c r="FL1127">
        <v>1</v>
      </c>
      <c r="FM1127">
        <v>1</v>
      </c>
      <c r="FN1127">
        <v>1</v>
      </c>
      <c r="FO1127">
        <v>1</v>
      </c>
      <c r="FP1127">
        <v>1</v>
      </c>
    </row>
    <row r="1128" spans="1:172" x14ac:dyDescent="0.25">
      <c r="A1128" t="s">
        <v>173</v>
      </c>
      <c r="B1128" t="s">
        <v>174</v>
      </c>
      <c r="C1128" s="3">
        <v>31.78</v>
      </c>
      <c r="D1128" s="3">
        <v>35.200000000000003</v>
      </c>
      <c r="E1128" t="s">
        <v>12</v>
      </c>
      <c r="F1128" t="s">
        <v>21</v>
      </c>
      <c r="G1128" t="s">
        <v>76</v>
      </c>
      <c r="I1128" t="s">
        <v>15</v>
      </c>
      <c r="J1128" t="s">
        <v>12</v>
      </c>
      <c r="K1128" t="s">
        <v>12</v>
      </c>
      <c r="L1128" t="s">
        <v>184</v>
      </c>
      <c r="M1128" t="s">
        <v>1090</v>
      </c>
      <c r="O1128">
        <v>25</v>
      </c>
      <c r="P1128">
        <v>9</v>
      </c>
      <c r="FE1128">
        <v>1</v>
      </c>
      <c r="FF1128">
        <v>1</v>
      </c>
      <c r="FG1128">
        <v>1</v>
      </c>
      <c r="FH1128">
        <v>1</v>
      </c>
      <c r="FI1128">
        <v>1</v>
      </c>
      <c r="FJ1128">
        <v>1</v>
      </c>
      <c r="FK1128">
        <v>1</v>
      </c>
      <c r="FL1128">
        <v>1</v>
      </c>
      <c r="FM1128">
        <v>1</v>
      </c>
      <c r="FN1128">
        <v>1</v>
      </c>
      <c r="FO1128">
        <v>1</v>
      </c>
      <c r="FP1128">
        <v>1</v>
      </c>
    </row>
    <row r="1129" spans="1:172" x14ac:dyDescent="0.25">
      <c r="A1129" t="s">
        <v>508</v>
      </c>
      <c r="B1129" t="s">
        <v>228</v>
      </c>
      <c r="C1129" s="3">
        <v>36.53</v>
      </c>
      <c r="D1129" s="3">
        <v>139.19</v>
      </c>
      <c r="E1129" t="s">
        <v>12</v>
      </c>
      <c r="F1129" t="s">
        <v>77</v>
      </c>
      <c r="G1129" t="s">
        <v>76</v>
      </c>
      <c r="H1129">
        <v>50</v>
      </c>
      <c r="I1129" t="s">
        <v>15</v>
      </c>
      <c r="J1129" t="s">
        <v>15</v>
      </c>
      <c r="K1129" t="s">
        <v>15</v>
      </c>
      <c r="L1129" t="s">
        <v>509</v>
      </c>
      <c r="M1129" t="s">
        <v>944</v>
      </c>
      <c r="O1129">
        <v>10.5</v>
      </c>
      <c r="EJ1129">
        <v>1</v>
      </c>
      <c r="EK1129">
        <v>1</v>
      </c>
      <c r="EL1129">
        <v>1</v>
      </c>
      <c r="EM1129">
        <v>1</v>
      </c>
      <c r="EN1129">
        <v>1</v>
      </c>
      <c r="EO1129">
        <v>1</v>
      </c>
      <c r="EP1129">
        <v>1</v>
      </c>
      <c r="EQ1129">
        <v>1</v>
      </c>
      <c r="ER1129">
        <v>1</v>
      </c>
      <c r="ES1129">
        <v>1</v>
      </c>
      <c r="ET1129">
        <v>1</v>
      </c>
      <c r="EU1129">
        <v>1</v>
      </c>
    </row>
    <row r="1130" spans="1:172" x14ac:dyDescent="0.25">
      <c r="A1130" t="s">
        <v>576</v>
      </c>
      <c r="B1130" t="s">
        <v>228</v>
      </c>
      <c r="C1130" s="3">
        <v>35.01</v>
      </c>
      <c r="D1130" s="3">
        <v>135.44</v>
      </c>
      <c r="E1130" t="s">
        <v>15</v>
      </c>
      <c r="F1130" t="s">
        <v>20</v>
      </c>
      <c r="G1130" t="s">
        <v>106</v>
      </c>
      <c r="I1130" t="s">
        <v>12</v>
      </c>
      <c r="J1130" t="s">
        <v>12</v>
      </c>
      <c r="K1130" t="s">
        <v>12</v>
      </c>
      <c r="L1130" t="s">
        <v>578</v>
      </c>
      <c r="M1130" t="s">
        <v>894</v>
      </c>
      <c r="O1130">
        <v>37.9</v>
      </c>
      <c r="P1130">
        <v>14.8</v>
      </c>
      <c r="DC1130">
        <v>0.5</v>
      </c>
    </row>
    <row r="1131" spans="1:172" x14ac:dyDescent="0.25">
      <c r="A1131" t="s">
        <v>507</v>
      </c>
      <c r="B1131" t="s">
        <v>228</v>
      </c>
      <c r="C1131" s="3">
        <v>36.380000000000003</v>
      </c>
      <c r="D1131" s="3">
        <v>139.06</v>
      </c>
      <c r="E1131" t="s">
        <v>12</v>
      </c>
      <c r="F1131" t="s">
        <v>20</v>
      </c>
      <c r="G1131" t="s">
        <v>76</v>
      </c>
      <c r="H1131">
        <v>50</v>
      </c>
      <c r="I1131" t="s">
        <v>15</v>
      </c>
      <c r="J1131" t="s">
        <v>15</v>
      </c>
      <c r="K1131" t="s">
        <v>15</v>
      </c>
      <c r="L1131" t="s">
        <v>509</v>
      </c>
      <c r="M1131" t="s">
        <v>944</v>
      </c>
      <c r="O1131">
        <v>22.2</v>
      </c>
      <c r="EJ1131">
        <v>1</v>
      </c>
      <c r="EK1131">
        <v>1</v>
      </c>
      <c r="EL1131">
        <v>1</v>
      </c>
      <c r="EM1131">
        <v>1</v>
      </c>
      <c r="EN1131">
        <v>1</v>
      </c>
      <c r="EO1131">
        <v>1</v>
      </c>
      <c r="EP1131">
        <v>1</v>
      </c>
      <c r="EQ1131">
        <v>1</v>
      </c>
      <c r="ER1131">
        <v>1</v>
      </c>
      <c r="ES1131">
        <v>1</v>
      </c>
      <c r="ET1131">
        <v>1</v>
      </c>
      <c r="EU1131">
        <v>1</v>
      </c>
    </row>
    <row r="1132" spans="1:172" x14ac:dyDescent="0.25">
      <c r="A1132" t="s">
        <v>688</v>
      </c>
      <c r="B1132" t="s">
        <v>228</v>
      </c>
      <c r="C1132" s="3">
        <f>38+12/60</f>
        <v>38.200000000000003</v>
      </c>
      <c r="D1132" s="3">
        <f>138+21/60</f>
        <v>138.35</v>
      </c>
      <c r="E1132" t="s">
        <v>15</v>
      </c>
      <c r="F1132" t="s">
        <v>20</v>
      </c>
      <c r="G1132" t="s">
        <v>106</v>
      </c>
      <c r="I1132" t="s">
        <v>15</v>
      </c>
      <c r="J1132" t="s">
        <v>15</v>
      </c>
      <c r="K1132" t="s">
        <v>12</v>
      </c>
      <c r="L1132" t="s">
        <v>686</v>
      </c>
      <c r="M1132" t="s">
        <v>841</v>
      </c>
      <c r="O1132">
        <v>8.9</v>
      </c>
      <c r="P1132">
        <v>6</v>
      </c>
      <c r="CS1132">
        <v>0.5</v>
      </c>
      <c r="CT1132">
        <v>1</v>
      </c>
      <c r="CU1132">
        <v>1</v>
      </c>
      <c r="CV1132">
        <v>1</v>
      </c>
    </row>
    <row r="1133" spans="1:172" x14ac:dyDescent="0.25">
      <c r="A1133" t="s">
        <v>227</v>
      </c>
      <c r="B1133" t="s">
        <v>228</v>
      </c>
      <c r="C1133" s="3">
        <v>35.69</v>
      </c>
      <c r="D1133" s="3">
        <v>139.74</v>
      </c>
      <c r="E1133" t="s">
        <v>12</v>
      </c>
      <c r="F1133" t="s">
        <v>77</v>
      </c>
      <c r="G1133" t="s">
        <v>76</v>
      </c>
      <c r="H1133">
        <v>50</v>
      </c>
      <c r="I1133" t="s">
        <v>15</v>
      </c>
      <c r="J1133" t="s">
        <v>15</v>
      </c>
      <c r="K1133" t="s">
        <v>12</v>
      </c>
      <c r="L1133" t="s">
        <v>430</v>
      </c>
      <c r="M1133" t="s">
        <v>987</v>
      </c>
      <c r="N1133" t="s">
        <v>383</v>
      </c>
      <c r="O1133">
        <v>32.5</v>
      </c>
      <c r="AQ1133">
        <v>1</v>
      </c>
      <c r="AR1133">
        <v>1</v>
      </c>
      <c r="AS1133">
        <v>1</v>
      </c>
    </row>
    <row r="1134" spans="1:172" x14ac:dyDescent="0.25">
      <c r="A1134" t="s">
        <v>227</v>
      </c>
      <c r="B1134" t="s">
        <v>228</v>
      </c>
      <c r="C1134" s="3">
        <v>35.69</v>
      </c>
      <c r="D1134" s="3">
        <v>139.74</v>
      </c>
      <c r="E1134" t="s">
        <v>12</v>
      </c>
      <c r="F1134" t="s">
        <v>77</v>
      </c>
      <c r="G1134" t="s">
        <v>76</v>
      </c>
      <c r="H1134">
        <v>50</v>
      </c>
      <c r="I1134" t="s">
        <v>15</v>
      </c>
      <c r="J1134" t="s">
        <v>15</v>
      </c>
      <c r="K1134" t="s">
        <v>12</v>
      </c>
      <c r="L1134" t="s">
        <v>430</v>
      </c>
      <c r="M1134" t="s">
        <v>987</v>
      </c>
      <c r="N1134" t="s">
        <v>383</v>
      </c>
      <c r="O1134">
        <v>33</v>
      </c>
      <c r="AT1134">
        <v>1</v>
      </c>
      <c r="AU1134">
        <v>1</v>
      </c>
      <c r="AV1134">
        <v>1</v>
      </c>
    </row>
    <row r="1135" spans="1:172" x14ac:dyDescent="0.25">
      <c r="A1135" t="s">
        <v>227</v>
      </c>
      <c r="B1135" t="s">
        <v>228</v>
      </c>
      <c r="C1135" s="3">
        <v>35.69</v>
      </c>
      <c r="D1135" s="3">
        <v>139.74</v>
      </c>
      <c r="E1135" t="s">
        <v>12</v>
      </c>
      <c r="F1135" t="s">
        <v>77</v>
      </c>
      <c r="G1135" t="s">
        <v>76</v>
      </c>
      <c r="H1135">
        <v>50</v>
      </c>
      <c r="I1135" t="s">
        <v>15</v>
      </c>
      <c r="J1135" t="s">
        <v>15</v>
      </c>
      <c r="K1135" t="s">
        <v>12</v>
      </c>
      <c r="L1135" t="s">
        <v>430</v>
      </c>
      <c r="M1135" t="s">
        <v>987</v>
      </c>
      <c r="N1135" t="s">
        <v>383</v>
      </c>
      <c r="O1135">
        <v>36</v>
      </c>
      <c r="AW1135">
        <v>1</v>
      </c>
      <c r="AX1135">
        <v>1</v>
      </c>
      <c r="AY1135">
        <v>1</v>
      </c>
    </row>
    <row r="1136" spans="1:172" x14ac:dyDescent="0.25">
      <c r="A1136" t="s">
        <v>227</v>
      </c>
      <c r="B1136" t="s">
        <v>228</v>
      </c>
      <c r="C1136" s="3">
        <v>35.69</v>
      </c>
      <c r="D1136" s="3">
        <v>139.74</v>
      </c>
      <c r="E1136" t="s">
        <v>12</v>
      </c>
      <c r="F1136" t="s">
        <v>77</v>
      </c>
      <c r="G1136" t="s">
        <v>76</v>
      </c>
      <c r="H1136">
        <v>50</v>
      </c>
      <c r="I1136" t="s">
        <v>15</v>
      </c>
      <c r="J1136" t="s">
        <v>15</v>
      </c>
      <c r="K1136" t="s">
        <v>12</v>
      </c>
      <c r="L1136" t="s">
        <v>430</v>
      </c>
      <c r="M1136" t="s">
        <v>987</v>
      </c>
      <c r="N1136" t="s">
        <v>383</v>
      </c>
      <c r="O1136">
        <v>42</v>
      </c>
      <c r="AZ1136">
        <v>1</v>
      </c>
      <c r="BA1136">
        <v>1</v>
      </c>
      <c r="BB1136">
        <v>1</v>
      </c>
    </row>
    <row r="1137" spans="1:102" x14ac:dyDescent="0.25">
      <c r="A1137" t="s">
        <v>227</v>
      </c>
      <c r="B1137" t="s">
        <v>228</v>
      </c>
      <c r="C1137" s="3">
        <v>35.69</v>
      </c>
      <c r="D1137" s="3">
        <v>139.74</v>
      </c>
      <c r="E1137" t="s">
        <v>12</v>
      </c>
      <c r="F1137" t="s">
        <v>77</v>
      </c>
      <c r="G1137" t="s">
        <v>76</v>
      </c>
      <c r="H1137">
        <v>50</v>
      </c>
      <c r="I1137" t="s">
        <v>15</v>
      </c>
      <c r="J1137" t="s">
        <v>15</v>
      </c>
      <c r="K1137" t="s">
        <v>12</v>
      </c>
      <c r="L1137" t="s">
        <v>430</v>
      </c>
      <c r="M1137" t="s">
        <v>987</v>
      </c>
      <c r="N1137" t="s">
        <v>383</v>
      </c>
      <c r="O1137">
        <v>32.5</v>
      </c>
      <c r="BC1137">
        <v>1</v>
      </c>
      <c r="BD1137">
        <v>1</v>
      </c>
      <c r="BE1137">
        <v>1</v>
      </c>
    </row>
    <row r="1138" spans="1:102" x14ac:dyDescent="0.25">
      <c r="A1138" t="s">
        <v>227</v>
      </c>
      <c r="B1138" t="s">
        <v>228</v>
      </c>
      <c r="C1138" s="3">
        <v>35.69</v>
      </c>
      <c r="D1138" s="3">
        <v>139.74</v>
      </c>
      <c r="E1138" t="s">
        <v>12</v>
      </c>
      <c r="F1138" t="s">
        <v>77</v>
      </c>
      <c r="G1138" t="s">
        <v>76</v>
      </c>
      <c r="H1138">
        <v>50</v>
      </c>
      <c r="I1138" t="s">
        <v>15</v>
      </c>
      <c r="J1138" t="s">
        <v>15</v>
      </c>
      <c r="K1138" t="s">
        <v>12</v>
      </c>
      <c r="L1138" t="s">
        <v>430</v>
      </c>
      <c r="M1138" t="s">
        <v>987</v>
      </c>
      <c r="N1138" t="s">
        <v>383</v>
      </c>
      <c r="O1138">
        <v>27</v>
      </c>
      <c r="BF1138">
        <v>1</v>
      </c>
      <c r="BG1138">
        <v>1</v>
      </c>
      <c r="BH1138">
        <v>1</v>
      </c>
    </row>
    <row r="1139" spans="1:102" x14ac:dyDescent="0.25">
      <c r="A1139" t="s">
        <v>227</v>
      </c>
      <c r="B1139" t="s">
        <v>228</v>
      </c>
      <c r="C1139" s="3">
        <v>35.69</v>
      </c>
      <c r="D1139" s="3">
        <v>139.74</v>
      </c>
      <c r="E1139" t="s">
        <v>12</v>
      </c>
      <c r="F1139" t="s">
        <v>77</v>
      </c>
      <c r="G1139" t="s">
        <v>76</v>
      </c>
      <c r="H1139">
        <v>50</v>
      </c>
      <c r="I1139" t="s">
        <v>15</v>
      </c>
      <c r="J1139" t="s">
        <v>15</v>
      </c>
      <c r="K1139" t="s">
        <v>12</v>
      </c>
      <c r="L1139" t="s">
        <v>430</v>
      </c>
      <c r="M1139" t="s">
        <v>987</v>
      </c>
      <c r="N1139" t="s">
        <v>383</v>
      </c>
      <c r="O1139">
        <v>32</v>
      </c>
      <c r="BI1139">
        <v>1</v>
      </c>
      <c r="BJ1139">
        <v>1</v>
      </c>
      <c r="BK1139">
        <v>1</v>
      </c>
    </row>
    <row r="1140" spans="1:102" x14ac:dyDescent="0.25">
      <c r="A1140" t="s">
        <v>227</v>
      </c>
      <c r="B1140" t="s">
        <v>228</v>
      </c>
      <c r="C1140" s="3">
        <v>35.69</v>
      </c>
      <c r="D1140" s="3">
        <v>139.74</v>
      </c>
      <c r="E1140" t="s">
        <v>12</v>
      </c>
      <c r="F1140" t="s">
        <v>77</v>
      </c>
      <c r="G1140" t="s">
        <v>76</v>
      </c>
      <c r="H1140">
        <v>50</v>
      </c>
      <c r="I1140" t="s">
        <v>15</v>
      </c>
      <c r="J1140" t="s">
        <v>15</v>
      </c>
      <c r="K1140" t="s">
        <v>12</v>
      </c>
      <c r="L1140" t="s">
        <v>430</v>
      </c>
      <c r="M1140" t="s">
        <v>987</v>
      </c>
      <c r="N1140" t="s">
        <v>383</v>
      </c>
      <c r="O1140">
        <v>39</v>
      </c>
      <c r="BL1140">
        <v>1</v>
      </c>
      <c r="BM1140">
        <v>1</v>
      </c>
      <c r="BN1140">
        <v>1</v>
      </c>
    </row>
    <row r="1141" spans="1:102" x14ac:dyDescent="0.25">
      <c r="A1141" t="s">
        <v>227</v>
      </c>
      <c r="B1141" t="s">
        <v>228</v>
      </c>
      <c r="C1141" s="3">
        <v>35.69</v>
      </c>
      <c r="D1141" s="3">
        <v>139.74</v>
      </c>
      <c r="E1141" t="s">
        <v>12</v>
      </c>
      <c r="F1141" t="s">
        <v>77</v>
      </c>
      <c r="G1141" t="s">
        <v>76</v>
      </c>
      <c r="H1141">
        <v>50</v>
      </c>
      <c r="I1141" t="s">
        <v>15</v>
      </c>
      <c r="J1141" t="s">
        <v>15</v>
      </c>
      <c r="K1141" t="s">
        <v>12</v>
      </c>
      <c r="L1141" t="s">
        <v>430</v>
      </c>
      <c r="M1141" t="s">
        <v>987</v>
      </c>
      <c r="N1141" t="s">
        <v>383</v>
      </c>
      <c r="O1141">
        <v>29</v>
      </c>
      <c r="BO1141">
        <v>1</v>
      </c>
      <c r="BP1141">
        <v>1</v>
      </c>
      <c r="BQ1141">
        <v>1</v>
      </c>
    </row>
    <row r="1142" spans="1:102" x14ac:dyDescent="0.25">
      <c r="A1142" t="s">
        <v>227</v>
      </c>
      <c r="B1142" t="s">
        <v>228</v>
      </c>
      <c r="C1142" s="3">
        <v>35.69</v>
      </c>
      <c r="D1142" s="3">
        <v>139.74</v>
      </c>
      <c r="E1142" t="s">
        <v>12</v>
      </c>
      <c r="F1142" t="s">
        <v>77</v>
      </c>
      <c r="G1142" t="s">
        <v>76</v>
      </c>
      <c r="H1142">
        <v>50</v>
      </c>
      <c r="I1142" t="s">
        <v>15</v>
      </c>
      <c r="J1142" t="s">
        <v>15</v>
      </c>
      <c r="K1142" t="s">
        <v>12</v>
      </c>
      <c r="L1142" t="s">
        <v>430</v>
      </c>
      <c r="M1142" t="s">
        <v>987</v>
      </c>
      <c r="N1142" t="s">
        <v>383</v>
      </c>
      <c r="O1142">
        <v>17.5</v>
      </c>
      <c r="BR1142">
        <v>1</v>
      </c>
      <c r="BS1142">
        <v>1</v>
      </c>
      <c r="BT1142">
        <v>1</v>
      </c>
    </row>
    <row r="1143" spans="1:102" x14ac:dyDescent="0.25">
      <c r="A1143" t="s">
        <v>227</v>
      </c>
      <c r="B1143" t="s">
        <v>228</v>
      </c>
      <c r="C1143" s="3">
        <v>35.69</v>
      </c>
      <c r="D1143" s="3">
        <v>139.74</v>
      </c>
      <c r="E1143" t="s">
        <v>12</v>
      </c>
      <c r="F1143" t="s">
        <v>77</v>
      </c>
      <c r="G1143" t="s">
        <v>76</v>
      </c>
      <c r="H1143">
        <v>50</v>
      </c>
      <c r="I1143" t="s">
        <v>15</v>
      </c>
      <c r="J1143" t="s">
        <v>15</v>
      </c>
      <c r="K1143" t="s">
        <v>12</v>
      </c>
      <c r="L1143" t="s">
        <v>430</v>
      </c>
      <c r="M1143" t="s">
        <v>987</v>
      </c>
      <c r="N1143" t="s">
        <v>383</v>
      </c>
      <c r="O1143">
        <v>31</v>
      </c>
      <c r="BU1143">
        <v>1</v>
      </c>
      <c r="BV1143">
        <v>1</v>
      </c>
      <c r="BW1143">
        <v>1</v>
      </c>
    </row>
    <row r="1144" spans="1:102" x14ac:dyDescent="0.25">
      <c r="A1144" t="s">
        <v>227</v>
      </c>
      <c r="B1144" t="s">
        <v>228</v>
      </c>
      <c r="C1144" s="3">
        <v>35.69</v>
      </c>
      <c r="D1144" s="3">
        <v>139.74</v>
      </c>
      <c r="E1144" t="s">
        <v>12</v>
      </c>
      <c r="F1144" t="s">
        <v>77</v>
      </c>
      <c r="G1144" t="s">
        <v>76</v>
      </c>
      <c r="H1144">
        <v>50</v>
      </c>
      <c r="I1144" t="s">
        <v>15</v>
      </c>
      <c r="J1144" t="s">
        <v>15</v>
      </c>
      <c r="K1144" t="s">
        <v>12</v>
      </c>
      <c r="L1144" t="s">
        <v>430</v>
      </c>
      <c r="M1144" t="s">
        <v>987</v>
      </c>
      <c r="N1144" t="s">
        <v>383</v>
      </c>
      <c r="O1144">
        <v>30.5</v>
      </c>
      <c r="BX1144">
        <v>1</v>
      </c>
      <c r="BY1144">
        <v>1</v>
      </c>
      <c r="BZ1144">
        <v>1</v>
      </c>
    </row>
    <row r="1145" spans="1:102" x14ac:dyDescent="0.25">
      <c r="A1145" t="s">
        <v>227</v>
      </c>
      <c r="B1145" t="s">
        <v>228</v>
      </c>
      <c r="C1145" s="3">
        <v>35.69</v>
      </c>
      <c r="D1145" s="3">
        <v>139.74</v>
      </c>
      <c r="E1145" t="s">
        <v>12</v>
      </c>
      <c r="F1145" t="s">
        <v>77</v>
      </c>
      <c r="G1145" t="s">
        <v>76</v>
      </c>
      <c r="H1145">
        <v>50</v>
      </c>
      <c r="I1145" t="s">
        <v>15</v>
      </c>
      <c r="J1145" t="s">
        <v>15</v>
      </c>
      <c r="K1145" t="s">
        <v>12</v>
      </c>
      <c r="L1145" t="s">
        <v>430</v>
      </c>
      <c r="M1145" t="s">
        <v>987</v>
      </c>
      <c r="N1145" t="s">
        <v>383</v>
      </c>
      <c r="O1145">
        <v>23</v>
      </c>
      <c r="CA1145">
        <v>1</v>
      </c>
      <c r="CB1145">
        <v>1</v>
      </c>
      <c r="CC1145">
        <v>1</v>
      </c>
    </row>
    <row r="1146" spans="1:102" x14ac:dyDescent="0.25">
      <c r="A1146" t="s">
        <v>227</v>
      </c>
      <c r="B1146" t="s">
        <v>228</v>
      </c>
      <c r="C1146" s="3">
        <v>35.69</v>
      </c>
      <c r="D1146" s="3">
        <v>139.74</v>
      </c>
      <c r="E1146" t="s">
        <v>12</v>
      </c>
      <c r="F1146" t="s">
        <v>77</v>
      </c>
      <c r="G1146" t="s">
        <v>76</v>
      </c>
      <c r="H1146">
        <v>50</v>
      </c>
      <c r="I1146" t="s">
        <v>15</v>
      </c>
      <c r="J1146" t="s">
        <v>15</v>
      </c>
      <c r="K1146" t="s">
        <v>12</v>
      </c>
      <c r="L1146" t="s">
        <v>430</v>
      </c>
      <c r="M1146" t="s">
        <v>987</v>
      </c>
      <c r="N1146" t="s">
        <v>383</v>
      </c>
      <c r="O1146">
        <v>25</v>
      </c>
      <c r="CD1146">
        <v>1</v>
      </c>
      <c r="CE1146">
        <v>1</v>
      </c>
      <c r="CF1146">
        <v>1</v>
      </c>
    </row>
    <row r="1147" spans="1:102" x14ac:dyDescent="0.25">
      <c r="A1147" t="s">
        <v>227</v>
      </c>
      <c r="B1147" t="s">
        <v>228</v>
      </c>
      <c r="C1147" s="3">
        <v>35.69</v>
      </c>
      <c r="D1147" s="3">
        <v>139.74</v>
      </c>
      <c r="E1147" t="s">
        <v>12</v>
      </c>
      <c r="F1147" t="s">
        <v>77</v>
      </c>
      <c r="G1147" t="s">
        <v>76</v>
      </c>
      <c r="H1147">
        <v>50</v>
      </c>
      <c r="I1147" t="s">
        <v>15</v>
      </c>
      <c r="J1147" t="s">
        <v>15</v>
      </c>
      <c r="K1147" t="s">
        <v>12</v>
      </c>
      <c r="L1147" t="s">
        <v>430</v>
      </c>
      <c r="M1147" t="s">
        <v>987</v>
      </c>
      <c r="N1147" t="s">
        <v>383</v>
      </c>
      <c r="O1147">
        <v>32.5</v>
      </c>
      <c r="CG1147">
        <v>1</v>
      </c>
      <c r="CH1147">
        <v>1</v>
      </c>
      <c r="CI1147">
        <v>1</v>
      </c>
    </row>
    <row r="1148" spans="1:102" x14ac:dyDescent="0.25">
      <c r="A1148" t="s">
        <v>227</v>
      </c>
      <c r="B1148" t="s">
        <v>228</v>
      </c>
      <c r="C1148" s="3">
        <v>35.69</v>
      </c>
      <c r="D1148" s="3">
        <v>139.74</v>
      </c>
      <c r="E1148" t="s">
        <v>12</v>
      </c>
      <c r="F1148" t="s">
        <v>77</v>
      </c>
      <c r="G1148" t="s">
        <v>76</v>
      </c>
      <c r="H1148">
        <v>50</v>
      </c>
      <c r="I1148" t="s">
        <v>15</v>
      </c>
      <c r="J1148" t="s">
        <v>15</v>
      </c>
      <c r="K1148" t="s">
        <v>12</v>
      </c>
      <c r="L1148" t="s">
        <v>430</v>
      </c>
      <c r="M1148" t="s">
        <v>987</v>
      </c>
      <c r="N1148" t="s">
        <v>383</v>
      </c>
      <c r="O1148">
        <v>30</v>
      </c>
      <c r="CJ1148">
        <v>1</v>
      </c>
      <c r="CK1148">
        <v>1</v>
      </c>
      <c r="CL1148">
        <v>1</v>
      </c>
    </row>
    <row r="1149" spans="1:102" x14ac:dyDescent="0.25">
      <c r="A1149" t="s">
        <v>227</v>
      </c>
      <c r="B1149" t="s">
        <v>228</v>
      </c>
      <c r="C1149" s="3">
        <v>35.69</v>
      </c>
      <c r="D1149" s="3">
        <v>139.74</v>
      </c>
      <c r="E1149" t="s">
        <v>12</v>
      </c>
      <c r="F1149" t="s">
        <v>77</v>
      </c>
      <c r="G1149" t="s">
        <v>76</v>
      </c>
      <c r="H1149">
        <v>50</v>
      </c>
      <c r="I1149" t="s">
        <v>15</v>
      </c>
      <c r="J1149" t="s">
        <v>15</v>
      </c>
      <c r="K1149" t="s">
        <v>12</v>
      </c>
      <c r="L1149" t="s">
        <v>430</v>
      </c>
      <c r="M1149" t="s">
        <v>987</v>
      </c>
      <c r="N1149" t="s">
        <v>383</v>
      </c>
      <c r="O1149">
        <v>27.5</v>
      </c>
      <c r="CM1149">
        <v>1</v>
      </c>
      <c r="CN1149">
        <v>1</v>
      </c>
      <c r="CO1149">
        <v>1</v>
      </c>
    </row>
    <row r="1150" spans="1:102" x14ac:dyDescent="0.25">
      <c r="A1150" t="s">
        <v>227</v>
      </c>
      <c r="B1150" t="s">
        <v>228</v>
      </c>
      <c r="C1150" s="3">
        <v>35.69</v>
      </c>
      <c r="D1150" s="3">
        <v>139.74</v>
      </c>
      <c r="E1150" t="s">
        <v>12</v>
      </c>
      <c r="F1150" t="s">
        <v>77</v>
      </c>
      <c r="G1150" t="s">
        <v>76</v>
      </c>
      <c r="H1150">
        <v>50</v>
      </c>
      <c r="I1150" t="s">
        <v>15</v>
      </c>
      <c r="J1150" t="s">
        <v>15</v>
      </c>
      <c r="K1150" t="s">
        <v>12</v>
      </c>
      <c r="L1150" t="s">
        <v>430</v>
      </c>
      <c r="M1150" t="s">
        <v>987</v>
      </c>
      <c r="N1150" t="s">
        <v>383</v>
      </c>
      <c r="O1150">
        <v>26</v>
      </c>
      <c r="CP1150">
        <v>1</v>
      </c>
      <c r="CQ1150">
        <v>1</v>
      </c>
      <c r="CR1150">
        <v>1</v>
      </c>
    </row>
    <row r="1151" spans="1:102" x14ac:dyDescent="0.25">
      <c r="A1151" t="s">
        <v>227</v>
      </c>
      <c r="B1151" t="s">
        <v>228</v>
      </c>
      <c r="C1151" s="3">
        <v>35.69</v>
      </c>
      <c r="D1151" s="3">
        <v>139.74</v>
      </c>
      <c r="E1151" t="s">
        <v>12</v>
      </c>
      <c r="F1151" t="s">
        <v>77</v>
      </c>
      <c r="G1151" t="s">
        <v>76</v>
      </c>
      <c r="H1151">
        <v>50</v>
      </c>
      <c r="I1151" t="s">
        <v>15</v>
      </c>
      <c r="J1151" t="s">
        <v>15</v>
      </c>
      <c r="K1151" t="s">
        <v>12</v>
      </c>
      <c r="L1151" t="s">
        <v>430</v>
      </c>
      <c r="M1151" t="s">
        <v>987</v>
      </c>
      <c r="N1151" t="s">
        <v>383</v>
      </c>
      <c r="O1151">
        <v>25</v>
      </c>
      <c r="CS1151">
        <v>1</v>
      </c>
      <c r="CT1151">
        <v>1</v>
      </c>
      <c r="CU1151">
        <v>1</v>
      </c>
    </row>
    <row r="1152" spans="1:102" x14ac:dyDescent="0.25">
      <c r="A1152" t="s">
        <v>227</v>
      </c>
      <c r="B1152" t="s">
        <v>228</v>
      </c>
      <c r="C1152" s="3">
        <v>35.69</v>
      </c>
      <c r="D1152" s="3">
        <v>139.74</v>
      </c>
      <c r="E1152" t="s">
        <v>12</v>
      </c>
      <c r="F1152" t="s">
        <v>77</v>
      </c>
      <c r="G1152" t="s">
        <v>76</v>
      </c>
      <c r="H1152">
        <v>50</v>
      </c>
      <c r="I1152" t="s">
        <v>15</v>
      </c>
      <c r="J1152" t="s">
        <v>15</v>
      </c>
      <c r="K1152" t="s">
        <v>12</v>
      </c>
      <c r="L1152" t="s">
        <v>430</v>
      </c>
      <c r="M1152" t="s">
        <v>987</v>
      </c>
      <c r="N1152" t="s">
        <v>383</v>
      </c>
      <c r="O1152">
        <v>29</v>
      </c>
      <c r="CV1152">
        <v>1</v>
      </c>
      <c r="CW1152">
        <v>1</v>
      </c>
      <c r="CX1152">
        <v>1</v>
      </c>
    </row>
    <row r="1153" spans="1:180" x14ac:dyDescent="0.25">
      <c r="A1153" t="s">
        <v>227</v>
      </c>
      <c r="B1153" t="s">
        <v>228</v>
      </c>
      <c r="C1153" s="3">
        <v>35.69</v>
      </c>
      <c r="D1153" s="3">
        <v>139.74</v>
      </c>
      <c r="E1153" t="s">
        <v>12</v>
      </c>
      <c r="F1153" t="s">
        <v>77</v>
      </c>
      <c r="G1153" t="s">
        <v>76</v>
      </c>
      <c r="H1153">
        <v>50</v>
      </c>
      <c r="I1153" t="s">
        <v>15</v>
      </c>
      <c r="J1153" t="s">
        <v>15</v>
      </c>
      <c r="K1153" t="s">
        <v>12</v>
      </c>
      <c r="L1153" t="s">
        <v>430</v>
      </c>
      <c r="M1153" t="s">
        <v>987</v>
      </c>
      <c r="N1153" t="s">
        <v>383</v>
      </c>
      <c r="O1153">
        <v>22.5</v>
      </c>
      <c r="CY1153">
        <v>1</v>
      </c>
      <c r="CZ1153">
        <v>1</v>
      </c>
      <c r="DA1153">
        <v>1</v>
      </c>
    </row>
    <row r="1154" spans="1:180" x14ac:dyDescent="0.25">
      <c r="A1154" t="s">
        <v>227</v>
      </c>
      <c r="B1154" t="s">
        <v>228</v>
      </c>
      <c r="C1154" s="3">
        <v>35.69</v>
      </c>
      <c r="D1154" s="3">
        <v>139.74</v>
      </c>
      <c r="E1154" t="s">
        <v>12</v>
      </c>
      <c r="F1154" t="s">
        <v>77</v>
      </c>
      <c r="G1154" t="s">
        <v>76</v>
      </c>
      <c r="H1154">
        <v>50</v>
      </c>
      <c r="I1154" t="s">
        <v>15</v>
      </c>
      <c r="J1154" t="s">
        <v>15</v>
      </c>
      <c r="K1154" t="s">
        <v>12</v>
      </c>
      <c r="L1154" t="s">
        <v>430</v>
      </c>
      <c r="M1154" t="s">
        <v>987</v>
      </c>
      <c r="N1154" t="s">
        <v>383</v>
      </c>
      <c r="O1154">
        <v>21</v>
      </c>
      <c r="DB1154">
        <v>1</v>
      </c>
      <c r="DC1154">
        <v>1</v>
      </c>
      <c r="DD1154">
        <v>1</v>
      </c>
    </row>
    <row r="1155" spans="1:180" x14ac:dyDescent="0.25">
      <c r="A1155" t="s">
        <v>227</v>
      </c>
      <c r="B1155" t="s">
        <v>228</v>
      </c>
      <c r="C1155" s="3">
        <v>35.69</v>
      </c>
      <c r="D1155" s="3">
        <v>139.74</v>
      </c>
      <c r="E1155" t="s">
        <v>12</v>
      </c>
      <c r="F1155" t="s">
        <v>77</v>
      </c>
      <c r="G1155" t="s">
        <v>76</v>
      </c>
      <c r="H1155">
        <v>50</v>
      </c>
      <c r="I1155" t="s">
        <v>15</v>
      </c>
      <c r="J1155" t="s">
        <v>15</v>
      </c>
      <c r="K1155" t="s">
        <v>12</v>
      </c>
      <c r="L1155" t="s">
        <v>430</v>
      </c>
      <c r="M1155" t="s">
        <v>987</v>
      </c>
      <c r="N1155" t="s">
        <v>383</v>
      </c>
      <c r="O1155">
        <v>24</v>
      </c>
      <c r="DE1155">
        <v>1</v>
      </c>
      <c r="DF1155">
        <v>1</v>
      </c>
      <c r="DG1155">
        <v>1</v>
      </c>
    </row>
    <row r="1156" spans="1:180" x14ac:dyDescent="0.25">
      <c r="A1156" t="s">
        <v>227</v>
      </c>
      <c r="B1156" t="s">
        <v>228</v>
      </c>
      <c r="C1156" s="3">
        <v>35.69</v>
      </c>
      <c r="D1156" s="3">
        <v>139.74</v>
      </c>
      <c r="E1156" t="s">
        <v>12</v>
      </c>
      <c r="F1156" t="s">
        <v>77</v>
      </c>
      <c r="G1156" t="s">
        <v>76</v>
      </c>
      <c r="H1156">
        <v>50</v>
      </c>
      <c r="I1156" t="s">
        <v>15</v>
      </c>
      <c r="J1156" t="s">
        <v>15</v>
      </c>
      <c r="K1156" t="s">
        <v>12</v>
      </c>
      <c r="L1156" t="s">
        <v>430</v>
      </c>
      <c r="M1156" t="s">
        <v>987</v>
      </c>
      <c r="N1156" t="s">
        <v>383</v>
      </c>
      <c r="O1156">
        <v>26</v>
      </c>
      <c r="DH1156">
        <v>1</v>
      </c>
      <c r="DI1156">
        <v>1</v>
      </c>
      <c r="DJ1156">
        <v>1</v>
      </c>
    </row>
    <row r="1157" spans="1:180" x14ac:dyDescent="0.25">
      <c r="A1157" t="s">
        <v>227</v>
      </c>
      <c r="B1157" t="s">
        <v>228</v>
      </c>
      <c r="C1157" s="3">
        <v>35.69</v>
      </c>
      <c r="D1157" s="3">
        <v>139.74</v>
      </c>
      <c r="E1157" t="s">
        <v>12</v>
      </c>
      <c r="F1157" t="s">
        <v>77</v>
      </c>
      <c r="G1157" t="s">
        <v>76</v>
      </c>
      <c r="H1157">
        <v>50</v>
      </c>
      <c r="I1157" t="s">
        <v>15</v>
      </c>
      <c r="J1157" t="s">
        <v>15</v>
      </c>
      <c r="K1157" t="s">
        <v>12</v>
      </c>
      <c r="L1157" t="s">
        <v>430</v>
      </c>
      <c r="M1157" t="s">
        <v>987</v>
      </c>
      <c r="N1157" t="s">
        <v>383</v>
      </c>
      <c r="O1157">
        <v>28.5</v>
      </c>
      <c r="DK1157">
        <v>1</v>
      </c>
      <c r="DL1157">
        <v>1</v>
      </c>
      <c r="DM1157">
        <v>1</v>
      </c>
    </row>
    <row r="1158" spans="1:180" x14ac:dyDescent="0.25">
      <c r="A1158" t="s">
        <v>227</v>
      </c>
      <c r="B1158" t="s">
        <v>228</v>
      </c>
      <c r="C1158" s="3">
        <v>35.69</v>
      </c>
      <c r="D1158" s="3">
        <v>139.74</v>
      </c>
      <c r="E1158" t="s">
        <v>12</v>
      </c>
      <c r="F1158" t="s">
        <v>77</v>
      </c>
      <c r="G1158" t="s">
        <v>76</v>
      </c>
      <c r="H1158">
        <v>50</v>
      </c>
      <c r="I1158" t="s">
        <v>15</v>
      </c>
      <c r="J1158" t="s">
        <v>15</v>
      </c>
      <c r="K1158" t="s">
        <v>12</v>
      </c>
      <c r="L1158" t="s">
        <v>430</v>
      </c>
      <c r="M1158" t="s">
        <v>987</v>
      </c>
      <c r="N1158" t="s">
        <v>383</v>
      </c>
      <c r="O1158">
        <v>20</v>
      </c>
      <c r="DN1158">
        <v>1</v>
      </c>
      <c r="DO1158">
        <v>1</v>
      </c>
      <c r="DP1158">
        <v>1</v>
      </c>
    </row>
    <row r="1159" spans="1:180" x14ac:dyDescent="0.25">
      <c r="A1159" t="s">
        <v>227</v>
      </c>
      <c r="B1159" t="s">
        <v>228</v>
      </c>
      <c r="C1159" s="3">
        <v>35.69</v>
      </c>
      <c r="D1159" s="3">
        <v>139.74</v>
      </c>
      <c r="E1159" t="s">
        <v>12</v>
      </c>
      <c r="F1159" t="s">
        <v>77</v>
      </c>
      <c r="G1159" t="s">
        <v>76</v>
      </c>
      <c r="H1159">
        <v>50</v>
      </c>
      <c r="I1159" t="s">
        <v>15</v>
      </c>
      <c r="J1159" t="s">
        <v>15</v>
      </c>
      <c r="K1159" t="s">
        <v>12</v>
      </c>
      <c r="L1159" t="s">
        <v>430</v>
      </c>
      <c r="M1159" t="s">
        <v>987</v>
      </c>
      <c r="N1159" t="s">
        <v>383</v>
      </c>
      <c r="O1159">
        <v>22</v>
      </c>
      <c r="DQ1159">
        <v>1</v>
      </c>
      <c r="DR1159">
        <v>1</v>
      </c>
      <c r="DS1159">
        <v>1</v>
      </c>
    </row>
    <row r="1160" spans="1:180" x14ac:dyDescent="0.25">
      <c r="A1160" t="s">
        <v>227</v>
      </c>
      <c r="B1160" t="s">
        <v>228</v>
      </c>
      <c r="C1160" s="3">
        <v>35.69</v>
      </c>
      <c r="D1160" s="3">
        <v>139.74</v>
      </c>
      <c r="E1160" t="s">
        <v>12</v>
      </c>
      <c r="F1160" t="s">
        <v>77</v>
      </c>
      <c r="G1160" t="s">
        <v>76</v>
      </c>
      <c r="H1160">
        <v>50</v>
      </c>
      <c r="I1160" t="s">
        <v>15</v>
      </c>
      <c r="J1160" t="s">
        <v>15</v>
      </c>
      <c r="K1160" t="s">
        <v>12</v>
      </c>
      <c r="L1160" t="s">
        <v>430</v>
      </c>
      <c r="M1160" t="s">
        <v>987</v>
      </c>
      <c r="N1160" t="s">
        <v>383</v>
      </c>
      <c r="O1160">
        <v>22</v>
      </c>
      <c r="DT1160">
        <v>1</v>
      </c>
      <c r="DU1160">
        <v>1</v>
      </c>
      <c r="DV1160">
        <v>1</v>
      </c>
    </row>
    <row r="1161" spans="1:180" x14ac:dyDescent="0.25">
      <c r="A1161" t="s">
        <v>227</v>
      </c>
      <c r="B1161" t="s">
        <v>228</v>
      </c>
      <c r="C1161" s="3">
        <v>35.69</v>
      </c>
      <c r="D1161" s="3">
        <v>139.74</v>
      </c>
      <c r="E1161" t="s">
        <v>12</v>
      </c>
      <c r="F1161" t="s">
        <v>77</v>
      </c>
      <c r="G1161" t="s">
        <v>76</v>
      </c>
      <c r="H1161">
        <v>50</v>
      </c>
      <c r="I1161" t="s">
        <v>15</v>
      </c>
      <c r="J1161" t="s">
        <v>15</v>
      </c>
      <c r="K1161" t="s">
        <v>12</v>
      </c>
      <c r="L1161" t="s">
        <v>430</v>
      </c>
      <c r="M1161" t="s">
        <v>987</v>
      </c>
      <c r="N1161" t="s">
        <v>383</v>
      </c>
      <c r="O1161">
        <v>22</v>
      </c>
      <c r="DW1161">
        <v>1</v>
      </c>
      <c r="DX1161">
        <v>1</v>
      </c>
      <c r="DY1161">
        <v>1</v>
      </c>
    </row>
    <row r="1162" spans="1:180" x14ac:dyDescent="0.25">
      <c r="A1162" t="s">
        <v>227</v>
      </c>
      <c r="B1162" t="s">
        <v>228</v>
      </c>
      <c r="C1162" s="3">
        <v>35.69</v>
      </c>
      <c r="D1162" s="3">
        <v>139.74</v>
      </c>
      <c r="E1162" t="s">
        <v>12</v>
      </c>
      <c r="F1162" t="s">
        <v>77</v>
      </c>
      <c r="G1162" t="s">
        <v>76</v>
      </c>
      <c r="H1162">
        <v>50</v>
      </c>
      <c r="I1162" t="s">
        <v>15</v>
      </c>
      <c r="J1162" t="s">
        <v>15</v>
      </c>
      <c r="K1162" t="s">
        <v>12</v>
      </c>
      <c r="L1162" t="s">
        <v>430</v>
      </c>
      <c r="M1162" t="s">
        <v>987</v>
      </c>
      <c r="N1162" t="s">
        <v>383</v>
      </c>
      <c r="O1162">
        <v>17.5</v>
      </c>
      <c r="DZ1162">
        <v>1</v>
      </c>
      <c r="EA1162">
        <v>1</v>
      </c>
      <c r="EB1162">
        <v>1</v>
      </c>
    </row>
    <row r="1163" spans="1:180" x14ac:dyDescent="0.25">
      <c r="A1163" t="s">
        <v>227</v>
      </c>
      <c r="B1163" t="s">
        <v>228</v>
      </c>
      <c r="C1163" s="3">
        <v>35.69</v>
      </c>
      <c r="D1163" s="3">
        <v>139.75</v>
      </c>
      <c r="E1163" t="s">
        <v>34</v>
      </c>
      <c r="F1163" t="s">
        <v>77</v>
      </c>
      <c r="G1163" t="s">
        <v>76</v>
      </c>
      <c r="H1163">
        <v>50</v>
      </c>
      <c r="I1163" t="s">
        <v>15</v>
      </c>
      <c r="J1163" t="s">
        <v>15</v>
      </c>
      <c r="K1163" t="s">
        <v>15</v>
      </c>
      <c r="L1163" t="s">
        <v>229</v>
      </c>
      <c r="M1163" t="s">
        <v>1069</v>
      </c>
      <c r="O1163">
        <v>22.3</v>
      </c>
      <c r="P1163">
        <v>4.5999999999999996</v>
      </c>
      <c r="DL1163">
        <v>1</v>
      </c>
      <c r="DM1163">
        <v>1</v>
      </c>
      <c r="DN1163">
        <v>1</v>
      </c>
      <c r="DO1163">
        <v>1</v>
      </c>
      <c r="DP1163">
        <v>1</v>
      </c>
      <c r="DQ1163">
        <v>1</v>
      </c>
      <c r="DR1163">
        <v>1</v>
      </c>
      <c r="DS1163">
        <v>1</v>
      </c>
      <c r="DT1163">
        <v>1</v>
      </c>
      <c r="DU1163">
        <v>1</v>
      </c>
      <c r="DV1163">
        <v>1</v>
      </c>
      <c r="DW1163">
        <v>1</v>
      </c>
    </row>
    <row r="1164" spans="1:180" x14ac:dyDescent="0.25">
      <c r="A1164" t="s">
        <v>227</v>
      </c>
      <c r="B1164" t="s">
        <v>228</v>
      </c>
      <c r="C1164" s="3">
        <v>35.6</v>
      </c>
      <c r="D1164" s="3">
        <v>139.63999999999999</v>
      </c>
      <c r="E1164" t="s">
        <v>34</v>
      </c>
      <c r="F1164" t="s">
        <v>77</v>
      </c>
      <c r="G1164" t="s">
        <v>76</v>
      </c>
      <c r="H1164">
        <v>50</v>
      </c>
      <c r="I1164" t="s">
        <v>15</v>
      </c>
      <c r="J1164" t="s">
        <v>15</v>
      </c>
      <c r="K1164" t="s">
        <v>15</v>
      </c>
      <c r="L1164" t="s">
        <v>229</v>
      </c>
      <c r="M1164" t="s">
        <v>1069</v>
      </c>
      <c r="O1164">
        <v>29.2</v>
      </c>
      <c r="P1164">
        <v>4.9000000000000004</v>
      </c>
      <c r="DL1164">
        <v>1</v>
      </c>
      <c r="DM1164">
        <v>1</v>
      </c>
      <c r="DN1164">
        <v>1</v>
      </c>
      <c r="DO1164">
        <v>1</v>
      </c>
      <c r="DP1164">
        <v>1</v>
      </c>
      <c r="DQ1164">
        <v>1</v>
      </c>
      <c r="DR1164">
        <v>1</v>
      </c>
      <c r="DS1164">
        <v>1</v>
      </c>
      <c r="DT1164">
        <v>1</v>
      </c>
      <c r="DU1164">
        <v>1</v>
      </c>
      <c r="DV1164">
        <v>1</v>
      </c>
      <c r="DW1164">
        <v>1</v>
      </c>
    </row>
    <row r="1165" spans="1:180" x14ac:dyDescent="0.25">
      <c r="A1165" t="s">
        <v>530</v>
      </c>
      <c r="B1165" t="s">
        <v>228</v>
      </c>
      <c r="C1165" s="3">
        <f>35+28/60+20.7/3600</f>
        <v>35.472416666666668</v>
      </c>
      <c r="D1165" s="3">
        <f>139+35/60+21.1/3600</f>
        <v>139.58919444444444</v>
      </c>
      <c r="E1165" t="s">
        <v>15</v>
      </c>
      <c r="F1165" t="s">
        <v>22</v>
      </c>
      <c r="G1165" t="s">
        <v>76</v>
      </c>
      <c r="I1165" t="s">
        <v>15</v>
      </c>
      <c r="J1165" t="s">
        <v>15</v>
      </c>
      <c r="K1165" t="s">
        <v>15</v>
      </c>
      <c r="L1165" t="s">
        <v>531</v>
      </c>
      <c r="M1165" t="s">
        <v>926</v>
      </c>
      <c r="O1165">
        <v>24.37</v>
      </c>
      <c r="P1165">
        <v>7</v>
      </c>
      <c r="FS1165">
        <v>1</v>
      </c>
      <c r="FT1165">
        <v>1</v>
      </c>
      <c r="FU1165">
        <v>1</v>
      </c>
    </row>
    <row r="1166" spans="1:180" x14ac:dyDescent="0.25">
      <c r="A1166" t="s">
        <v>530</v>
      </c>
      <c r="B1166" t="s">
        <v>228</v>
      </c>
      <c r="C1166" s="3">
        <f>35+28/60+20.7/3600</f>
        <v>35.472416666666668</v>
      </c>
      <c r="D1166" s="3">
        <f>139+35/60+21.1/3600</f>
        <v>139.58919444444444</v>
      </c>
      <c r="E1166" t="s">
        <v>15</v>
      </c>
      <c r="F1166" t="s">
        <v>22</v>
      </c>
      <c r="G1166" t="s">
        <v>76</v>
      </c>
      <c r="I1166" t="s">
        <v>15</v>
      </c>
      <c r="J1166" t="s">
        <v>15</v>
      </c>
      <c r="K1166" t="s">
        <v>15</v>
      </c>
      <c r="L1166" t="s">
        <v>531</v>
      </c>
      <c r="M1166" t="s">
        <v>926</v>
      </c>
      <c r="O1166">
        <v>20.8</v>
      </c>
      <c r="P1166">
        <v>6.3</v>
      </c>
      <c r="FV1166">
        <v>1</v>
      </c>
      <c r="FW1166">
        <v>1</v>
      </c>
      <c r="FX1166">
        <v>1</v>
      </c>
    </row>
    <row r="1167" spans="1:180" x14ac:dyDescent="0.25">
      <c r="A1167" t="s">
        <v>530</v>
      </c>
      <c r="B1167" t="s">
        <v>228</v>
      </c>
      <c r="C1167" s="3">
        <f>35+28/60+20.7/3600</f>
        <v>35.472416666666668</v>
      </c>
      <c r="D1167" s="3">
        <f>139+35/60+21.1/3600</f>
        <v>139.58919444444444</v>
      </c>
      <c r="E1167" t="s">
        <v>15</v>
      </c>
      <c r="F1167" t="s">
        <v>22</v>
      </c>
      <c r="G1167" t="s">
        <v>76</v>
      </c>
      <c r="I1167" t="s">
        <v>15</v>
      </c>
      <c r="J1167" t="s">
        <v>15</v>
      </c>
      <c r="K1167" t="s">
        <v>15</v>
      </c>
      <c r="L1167" t="s">
        <v>531</v>
      </c>
      <c r="M1167" t="s">
        <v>926</v>
      </c>
      <c r="O1167">
        <v>16.11</v>
      </c>
      <c r="P1167">
        <v>9.8000000000000007</v>
      </c>
      <c r="FM1167">
        <v>1</v>
      </c>
      <c r="FN1167">
        <v>1</v>
      </c>
      <c r="FO1167">
        <v>1</v>
      </c>
    </row>
    <row r="1168" spans="1:180" x14ac:dyDescent="0.25">
      <c r="A1168" t="s">
        <v>530</v>
      </c>
      <c r="B1168" t="s">
        <v>228</v>
      </c>
      <c r="C1168" s="3">
        <f>35+28/60+20.7/3600</f>
        <v>35.472416666666668</v>
      </c>
      <c r="D1168" s="3">
        <f>139+35/60+21.1/3600</f>
        <v>139.58919444444444</v>
      </c>
      <c r="E1168" t="s">
        <v>15</v>
      </c>
      <c r="F1168" t="s">
        <v>22</v>
      </c>
      <c r="G1168" t="s">
        <v>76</v>
      </c>
      <c r="I1168" t="s">
        <v>15</v>
      </c>
      <c r="J1168" t="s">
        <v>15</v>
      </c>
      <c r="K1168" t="s">
        <v>15</v>
      </c>
      <c r="L1168" t="s">
        <v>531</v>
      </c>
      <c r="M1168" t="s">
        <v>926</v>
      </c>
      <c r="O1168">
        <v>21.15</v>
      </c>
      <c r="P1168">
        <v>9.5</v>
      </c>
      <c r="FP1168">
        <v>1</v>
      </c>
      <c r="FQ1168">
        <v>1</v>
      </c>
      <c r="FR1168">
        <v>1</v>
      </c>
    </row>
    <row r="1169" spans="1:191" x14ac:dyDescent="0.25">
      <c r="A1169" t="s">
        <v>175</v>
      </c>
      <c r="B1169" t="s">
        <v>179</v>
      </c>
      <c r="C1169" s="3">
        <v>31.93</v>
      </c>
      <c r="D1169" s="3">
        <v>35.950000000000003</v>
      </c>
      <c r="E1169" t="s">
        <v>12</v>
      </c>
      <c r="F1169" t="s">
        <v>21</v>
      </c>
      <c r="G1169" t="s">
        <v>106</v>
      </c>
      <c r="I1169" t="s">
        <v>15</v>
      </c>
      <c r="J1169" t="s">
        <v>15</v>
      </c>
      <c r="K1169" t="s">
        <v>12</v>
      </c>
      <c r="L1169" t="s">
        <v>298</v>
      </c>
      <c r="M1169" t="s">
        <v>1044</v>
      </c>
      <c r="O1169">
        <v>34.9</v>
      </c>
      <c r="P1169">
        <v>15.1</v>
      </c>
      <c r="FE1169">
        <v>1</v>
      </c>
      <c r="FF1169">
        <v>1</v>
      </c>
      <c r="FG1169">
        <v>1</v>
      </c>
      <c r="FH1169">
        <v>1</v>
      </c>
      <c r="FI1169">
        <v>1</v>
      </c>
      <c r="FJ1169">
        <v>1</v>
      </c>
      <c r="FK1169">
        <v>1</v>
      </c>
      <c r="FL1169">
        <v>1</v>
      </c>
      <c r="FM1169">
        <v>1</v>
      </c>
      <c r="FN1169">
        <v>1</v>
      </c>
      <c r="FO1169">
        <v>1</v>
      </c>
      <c r="FP1169">
        <v>1</v>
      </c>
    </row>
    <row r="1170" spans="1:191" x14ac:dyDescent="0.25">
      <c r="A1170" t="s">
        <v>175</v>
      </c>
      <c r="B1170" t="s">
        <v>179</v>
      </c>
      <c r="C1170" s="3">
        <v>31.93</v>
      </c>
      <c r="D1170" s="3">
        <v>35.950000000000003</v>
      </c>
      <c r="E1170" t="s">
        <v>12</v>
      </c>
      <c r="F1170" t="s">
        <v>21</v>
      </c>
      <c r="G1170" t="s">
        <v>76</v>
      </c>
      <c r="I1170" t="s">
        <v>15</v>
      </c>
      <c r="J1170" t="s">
        <v>12</v>
      </c>
      <c r="K1170" t="s">
        <v>12</v>
      </c>
      <c r="L1170" t="s">
        <v>184</v>
      </c>
      <c r="M1170" t="s">
        <v>1090</v>
      </c>
      <c r="O1170">
        <v>40</v>
      </c>
      <c r="P1170">
        <v>9</v>
      </c>
      <c r="FE1170">
        <v>1</v>
      </c>
      <c r="FF1170">
        <v>1</v>
      </c>
      <c r="FG1170">
        <v>1</v>
      </c>
      <c r="FH1170">
        <v>1</v>
      </c>
      <c r="FI1170">
        <v>1</v>
      </c>
      <c r="FJ1170">
        <v>1</v>
      </c>
      <c r="FK1170">
        <v>1</v>
      </c>
      <c r="FL1170">
        <v>1</v>
      </c>
      <c r="FM1170">
        <v>1</v>
      </c>
      <c r="FN1170">
        <v>1</v>
      </c>
      <c r="FO1170">
        <v>1</v>
      </c>
      <c r="FP1170">
        <v>1</v>
      </c>
    </row>
    <row r="1171" spans="1:191" x14ac:dyDescent="0.25">
      <c r="A1171" t="s">
        <v>176</v>
      </c>
      <c r="B1171" t="s">
        <v>179</v>
      </c>
      <c r="C1171" s="3">
        <v>29.51</v>
      </c>
      <c r="D1171" s="3">
        <v>35</v>
      </c>
      <c r="E1171" t="s">
        <v>12</v>
      </c>
      <c r="F1171" t="s">
        <v>21</v>
      </c>
      <c r="G1171" t="s">
        <v>76</v>
      </c>
      <c r="I1171" t="s">
        <v>15</v>
      </c>
      <c r="J1171" t="s">
        <v>12</v>
      </c>
      <c r="K1171" t="s">
        <v>12</v>
      </c>
      <c r="L1171" t="s">
        <v>184</v>
      </c>
      <c r="M1171" t="s">
        <v>1090</v>
      </c>
      <c r="O1171">
        <v>25</v>
      </c>
      <c r="P1171">
        <v>6</v>
      </c>
      <c r="FE1171">
        <v>1</v>
      </c>
      <c r="FF1171">
        <v>1</v>
      </c>
      <c r="FG1171">
        <v>1</v>
      </c>
      <c r="FH1171">
        <v>1</v>
      </c>
      <c r="FI1171">
        <v>1</v>
      </c>
      <c r="FJ1171">
        <v>1</v>
      </c>
      <c r="FK1171">
        <v>1</v>
      </c>
      <c r="FL1171">
        <v>1</v>
      </c>
      <c r="FM1171">
        <v>1</v>
      </c>
      <c r="FN1171">
        <v>1</v>
      </c>
      <c r="FO1171">
        <v>1</v>
      </c>
      <c r="FP1171">
        <v>1</v>
      </c>
    </row>
    <row r="1172" spans="1:191" x14ac:dyDescent="0.25">
      <c r="A1172" t="s">
        <v>177</v>
      </c>
      <c r="B1172" t="s">
        <v>179</v>
      </c>
      <c r="C1172" s="3">
        <v>30.15</v>
      </c>
      <c r="D1172" s="3">
        <v>35.18</v>
      </c>
      <c r="E1172" t="s">
        <v>12</v>
      </c>
      <c r="F1172" t="s">
        <v>21</v>
      </c>
      <c r="G1172" t="s">
        <v>76</v>
      </c>
      <c r="I1172" t="s">
        <v>15</v>
      </c>
      <c r="J1172" t="s">
        <v>12</v>
      </c>
      <c r="K1172" t="s">
        <v>12</v>
      </c>
      <c r="L1172" t="s">
        <v>184</v>
      </c>
      <c r="M1172" t="s">
        <v>1090</v>
      </c>
      <c r="O1172">
        <v>25</v>
      </c>
      <c r="P1172">
        <v>7</v>
      </c>
      <c r="FE1172">
        <v>1</v>
      </c>
      <c r="FF1172">
        <v>1</v>
      </c>
      <c r="FG1172">
        <v>1</v>
      </c>
      <c r="FH1172">
        <v>1</v>
      </c>
      <c r="FI1172">
        <v>1</v>
      </c>
      <c r="FJ1172">
        <v>1</v>
      </c>
      <c r="FK1172">
        <v>1</v>
      </c>
      <c r="FL1172">
        <v>1</v>
      </c>
      <c r="FM1172">
        <v>1</v>
      </c>
      <c r="FN1172">
        <v>1</v>
      </c>
      <c r="FO1172">
        <v>1</v>
      </c>
      <c r="FP1172">
        <v>1</v>
      </c>
    </row>
    <row r="1173" spans="1:191" x14ac:dyDescent="0.25">
      <c r="A1173" t="s">
        <v>178</v>
      </c>
      <c r="B1173" t="s">
        <v>179</v>
      </c>
      <c r="C1173" s="3">
        <v>31.7</v>
      </c>
      <c r="D1173" s="3">
        <v>36.86</v>
      </c>
      <c r="E1173" t="s">
        <v>12</v>
      </c>
      <c r="F1173" t="s">
        <v>21</v>
      </c>
      <c r="G1173" t="s">
        <v>76</v>
      </c>
      <c r="I1173" t="s">
        <v>15</v>
      </c>
      <c r="J1173" t="s">
        <v>12</v>
      </c>
      <c r="K1173" t="s">
        <v>12</v>
      </c>
      <c r="L1173" t="s">
        <v>184</v>
      </c>
      <c r="M1173" t="s">
        <v>1090</v>
      </c>
      <c r="O1173">
        <v>37</v>
      </c>
      <c r="P1173">
        <v>7</v>
      </c>
      <c r="FE1173">
        <v>1</v>
      </c>
      <c r="FF1173">
        <v>1</v>
      </c>
      <c r="FG1173">
        <v>1</v>
      </c>
      <c r="FH1173">
        <v>1</v>
      </c>
      <c r="FI1173">
        <v>1</v>
      </c>
      <c r="FJ1173">
        <v>1</v>
      </c>
      <c r="FK1173">
        <v>1</v>
      </c>
      <c r="FL1173">
        <v>1</v>
      </c>
      <c r="FM1173">
        <v>1</v>
      </c>
      <c r="FN1173">
        <v>1</v>
      </c>
      <c r="FO1173">
        <v>1</v>
      </c>
      <c r="FP1173">
        <v>1</v>
      </c>
    </row>
    <row r="1174" spans="1:191" x14ac:dyDescent="0.25">
      <c r="A1174" t="s">
        <v>606</v>
      </c>
      <c r="B1174" t="s">
        <v>607</v>
      </c>
      <c r="C1174" s="3">
        <v>-1.2989999999999999</v>
      </c>
      <c r="D1174" s="3">
        <v>36.840000000000003</v>
      </c>
      <c r="E1174" t="s">
        <v>34</v>
      </c>
      <c r="F1174" t="s">
        <v>22</v>
      </c>
      <c r="G1174" t="s">
        <v>97</v>
      </c>
      <c r="I1174" t="s">
        <v>15</v>
      </c>
      <c r="J1174" t="s">
        <v>12</v>
      </c>
      <c r="K1174" t="s">
        <v>15</v>
      </c>
      <c r="L1174" t="s">
        <v>608</v>
      </c>
      <c r="M1174" t="s">
        <v>875</v>
      </c>
      <c r="O1174">
        <v>30</v>
      </c>
      <c r="CQ1174">
        <v>1</v>
      </c>
    </row>
    <row r="1175" spans="1:191" x14ac:dyDescent="0.25">
      <c r="A1175" t="s">
        <v>606</v>
      </c>
      <c r="B1175" t="s">
        <v>607</v>
      </c>
      <c r="C1175" s="3">
        <v>-1.18</v>
      </c>
      <c r="D1175" s="3">
        <v>36.92</v>
      </c>
      <c r="E1175" t="s">
        <v>34</v>
      </c>
      <c r="F1175" t="s">
        <v>20</v>
      </c>
      <c r="G1175" t="s">
        <v>97</v>
      </c>
      <c r="I1175" t="s">
        <v>12</v>
      </c>
      <c r="J1175" t="s">
        <v>12</v>
      </c>
      <c r="K1175" t="s">
        <v>12</v>
      </c>
      <c r="L1175" t="s">
        <v>609</v>
      </c>
      <c r="M1175" t="s">
        <v>937</v>
      </c>
      <c r="N1175" t="s">
        <v>610</v>
      </c>
      <c r="O1175">
        <v>10.7</v>
      </c>
      <c r="P1175">
        <v>3.8</v>
      </c>
      <c r="GI1175">
        <v>1</v>
      </c>
    </row>
    <row r="1176" spans="1:191" x14ac:dyDescent="0.25">
      <c r="A1176" t="s">
        <v>365</v>
      </c>
      <c r="B1176" t="s">
        <v>269</v>
      </c>
      <c r="C1176" s="3">
        <f t="shared" ref="C1176:C1183" si="30">36+32/60</f>
        <v>36.533333333333331</v>
      </c>
      <c r="D1176" s="3">
        <f t="shared" ref="D1176:D1183" si="31">126+19/60</f>
        <v>126.31666666666666</v>
      </c>
      <c r="E1176" t="s">
        <v>15</v>
      </c>
      <c r="F1176" t="s">
        <v>20</v>
      </c>
      <c r="G1176" t="s">
        <v>106</v>
      </c>
      <c r="I1176" t="s">
        <v>12</v>
      </c>
      <c r="J1176" t="s">
        <v>15</v>
      </c>
      <c r="K1176" t="s">
        <v>15</v>
      </c>
      <c r="L1176" t="s">
        <v>366</v>
      </c>
      <c r="M1176" t="s">
        <v>1016</v>
      </c>
      <c r="O1176">
        <v>51</v>
      </c>
      <c r="DK1176">
        <v>1</v>
      </c>
      <c r="DL1176">
        <v>1</v>
      </c>
      <c r="DM1176">
        <v>1</v>
      </c>
    </row>
    <row r="1177" spans="1:191" x14ac:dyDescent="0.25">
      <c r="A1177" t="s">
        <v>365</v>
      </c>
      <c r="B1177" t="s">
        <v>269</v>
      </c>
      <c r="C1177" s="3">
        <f t="shared" si="30"/>
        <v>36.533333333333331</v>
      </c>
      <c r="D1177" s="3">
        <f t="shared" si="31"/>
        <v>126.31666666666666</v>
      </c>
      <c r="E1177" t="s">
        <v>15</v>
      </c>
      <c r="F1177" t="s">
        <v>20</v>
      </c>
      <c r="G1177" t="s">
        <v>106</v>
      </c>
      <c r="I1177" t="s">
        <v>12</v>
      </c>
      <c r="J1177" t="s">
        <v>15</v>
      </c>
      <c r="K1177" t="s">
        <v>15</v>
      </c>
      <c r="L1177" t="s">
        <v>366</v>
      </c>
      <c r="M1177" t="s">
        <v>1016</v>
      </c>
      <c r="O1177">
        <v>37</v>
      </c>
      <c r="DN1177">
        <v>1</v>
      </c>
      <c r="DO1177">
        <v>1</v>
      </c>
      <c r="DP1177">
        <v>1</v>
      </c>
    </row>
    <row r="1178" spans="1:191" x14ac:dyDescent="0.25">
      <c r="A1178" t="s">
        <v>365</v>
      </c>
      <c r="B1178" t="s">
        <v>269</v>
      </c>
      <c r="C1178" s="3">
        <f t="shared" si="30"/>
        <v>36.533333333333331</v>
      </c>
      <c r="D1178" s="3">
        <f t="shared" si="31"/>
        <v>126.31666666666666</v>
      </c>
      <c r="E1178" t="s">
        <v>15</v>
      </c>
      <c r="F1178" t="s">
        <v>20</v>
      </c>
      <c r="G1178" t="s">
        <v>106</v>
      </c>
      <c r="I1178" t="s">
        <v>12</v>
      </c>
      <c r="J1178" t="s">
        <v>15</v>
      </c>
      <c r="K1178" t="s">
        <v>15</v>
      </c>
      <c r="L1178" t="s">
        <v>366</v>
      </c>
      <c r="M1178" t="s">
        <v>1016</v>
      </c>
      <c r="O1178">
        <v>38</v>
      </c>
      <c r="DQ1178">
        <v>1</v>
      </c>
      <c r="DR1178">
        <v>1</v>
      </c>
      <c r="DS1178">
        <v>1</v>
      </c>
    </row>
    <row r="1179" spans="1:191" x14ac:dyDescent="0.25">
      <c r="A1179" t="s">
        <v>365</v>
      </c>
      <c r="B1179" t="s">
        <v>269</v>
      </c>
      <c r="C1179" s="3">
        <f t="shared" si="30"/>
        <v>36.533333333333331</v>
      </c>
      <c r="D1179" s="3">
        <f t="shared" si="31"/>
        <v>126.31666666666666</v>
      </c>
      <c r="E1179" t="s">
        <v>15</v>
      </c>
      <c r="F1179" t="s">
        <v>20</v>
      </c>
      <c r="G1179" t="s">
        <v>106</v>
      </c>
      <c r="I1179" t="s">
        <v>12</v>
      </c>
      <c r="J1179" t="s">
        <v>15</v>
      </c>
      <c r="K1179" t="s">
        <v>15</v>
      </c>
      <c r="L1179" t="s">
        <v>366</v>
      </c>
      <c r="M1179" t="s">
        <v>1016</v>
      </c>
      <c r="O1179">
        <v>41</v>
      </c>
      <c r="DT1179">
        <v>1</v>
      </c>
      <c r="DU1179">
        <v>1</v>
      </c>
      <c r="DV1179">
        <v>1</v>
      </c>
    </row>
    <row r="1180" spans="1:191" x14ac:dyDescent="0.25">
      <c r="A1180" t="s">
        <v>365</v>
      </c>
      <c r="B1180" t="s">
        <v>269</v>
      </c>
      <c r="C1180" s="3">
        <f t="shared" si="30"/>
        <v>36.533333333333331</v>
      </c>
      <c r="D1180" s="3">
        <f t="shared" si="31"/>
        <v>126.31666666666666</v>
      </c>
      <c r="E1180" t="s">
        <v>15</v>
      </c>
      <c r="F1180" t="s">
        <v>20</v>
      </c>
      <c r="G1180" t="s">
        <v>106</v>
      </c>
      <c r="I1180" t="s">
        <v>12</v>
      </c>
      <c r="J1180" t="s">
        <v>15</v>
      </c>
      <c r="K1180" t="s">
        <v>15</v>
      </c>
      <c r="L1180" t="s">
        <v>366</v>
      </c>
      <c r="M1180" t="s">
        <v>1016</v>
      </c>
      <c r="O1180">
        <v>37</v>
      </c>
      <c r="DW1180">
        <v>1</v>
      </c>
      <c r="DX1180">
        <v>1</v>
      </c>
      <c r="DY1180">
        <v>1</v>
      </c>
    </row>
    <row r="1181" spans="1:191" x14ac:dyDescent="0.25">
      <c r="A1181" t="s">
        <v>365</v>
      </c>
      <c r="B1181" t="s">
        <v>269</v>
      </c>
      <c r="C1181" s="3">
        <f t="shared" si="30"/>
        <v>36.533333333333331</v>
      </c>
      <c r="D1181" s="3">
        <f t="shared" si="31"/>
        <v>126.31666666666666</v>
      </c>
      <c r="E1181" t="s">
        <v>15</v>
      </c>
      <c r="F1181" t="s">
        <v>20</v>
      </c>
      <c r="G1181" t="s">
        <v>106</v>
      </c>
      <c r="I1181" t="s">
        <v>12</v>
      </c>
      <c r="J1181" t="s">
        <v>15</v>
      </c>
      <c r="K1181" t="s">
        <v>15</v>
      </c>
      <c r="L1181" t="s">
        <v>366</v>
      </c>
      <c r="M1181" t="s">
        <v>1016</v>
      </c>
      <c r="O1181">
        <v>48</v>
      </c>
      <c r="DZ1181">
        <v>1</v>
      </c>
      <c r="EA1181">
        <v>1</v>
      </c>
      <c r="EB1181">
        <v>1</v>
      </c>
    </row>
    <row r="1182" spans="1:191" x14ac:dyDescent="0.25">
      <c r="A1182" t="s">
        <v>365</v>
      </c>
      <c r="B1182" t="s">
        <v>269</v>
      </c>
      <c r="C1182" s="3">
        <f t="shared" si="30"/>
        <v>36.533333333333331</v>
      </c>
      <c r="D1182" s="3">
        <f t="shared" si="31"/>
        <v>126.31666666666666</v>
      </c>
      <c r="E1182" t="s">
        <v>15</v>
      </c>
      <c r="F1182" t="s">
        <v>20</v>
      </c>
      <c r="G1182" t="s">
        <v>106</v>
      </c>
      <c r="I1182" t="s">
        <v>12</v>
      </c>
      <c r="J1182" t="s">
        <v>15</v>
      </c>
      <c r="K1182" t="s">
        <v>15</v>
      </c>
      <c r="L1182" t="s">
        <v>366</v>
      </c>
      <c r="M1182" t="s">
        <v>1016</v>
      </c>
      <c r="O1182">
        <v>30</v>
      </c>
      <c r="EC1182">
        <v>1</v>
      </c>
      <c r="ED1182">
        <v>1</v>
      </c>
      <c r="EE1182">
        <v>1</v>
      </c>
    </row>
    <row r="1183" spans="1:191" x14ac:dyDescent="0.25">
      <c r="A1183" t="s">
        <v>365</v>
      </c>
      <c r="B1183" t="s">
        <v>269</v>
      </c>
      <c r="C1183" s="3">
        <f t="shared" si="30"/>
        <v>36.533333333333331</v>
      </c>
      <c r="D1183" s="3">
        <f t="shared" si="31"/>
        <v>126.31666666666666</v>
      </c>
      <c r="E1183" t="s">
        <v>15</v>
      </c>
      <c r="F1183" t="s">
        <v>20</v>
      </c>
      <c r="G1183" t="s">
        <v>106</v>
      </c>
      <c r="I1183" t="s">
        <v>12</v>
      </c>
      <c r="J1183" t="s">
        <v>15</v>
      </c>
      <c r="K1183" t="s">
        <v>15</v>
      </c>
      <c r="L1183" t="s">
        <v>366</v>
      </c>
      <c r="M1183" t="s">
        <v>1016</v>
      </c>
      <c r="O1183">
        <v>30</v>
      </c>
      <c r="EF1183">
        <v>1</v>
      </c>
      <c r="EG1183">
        <v>1</v>
      </c>
      <c r="EH1183">
        <v>1</v>
      </c>
    </row>
    <row r="1184" spans="1:191" x14ac:dyDescent="0.25">
      <c r="A1184" t="s">
        <v>687</v>
      </c>
      <c r="B1184" t="s">
        <v>269</v>
      </c>
      <c r="C1184" s="3">
        <f>33+18/60</f>
        <v>33.299999999999997</v>
      </c>
      <c r="D1184" s="3">
        <f>126+0/60</f>
        <v>126</v>
      </c>
      <c r="E1184" t="s">
        <v>15</v>
      </c>
      <c r="F1184" t="s">
        <v>20</v>
      </c>
      <c r="G1184" t="s">
        <v>106</v>
      </c>
      <c r="I1184" t="s">
        <v>15</v>
      </c>
      <c r="J1184" t="s">
        <v>15</v>
      </c>
      <c r="K1184" t="s">
        <v>12</v>
      </c>
      <c r="L1184" t="s">
        <v>686</v>
      </c>
      <c r="M1184" t="s">
        <v>841</v>
      </c>
      <c r="O1184">
        <v>18</v>
      </c>
      <c r="P1184">
        <v>13</v>
      </c>
      <c r="CN1184">
        <v>1</v>
      </c>
      <c r="CO1184">
        <v>1</v>
      </c>
      <c r="CP1184">
        <v>1</v>
      </c>
      <c r="CQ1184">
        <v>1</v>
      </c>
      <c r="CR1184">
        <v>1</v>
      </c>
      <c r="CS1184">
        <v>1</v>
      </c>
      <c r="CT1184">
        <v>1</v>
      </c>
      <c r="CU1184">
        <v>1</v>
      </c>
      <c r="CV1184">
        <v>1</v>
      </c>
    </row>
    <row r="1185" spans="1:192" x14ac:dyDescent="0.25">
      <c r="A1185" t="s">
        <v>518</v>
      </c>
      <c r="B1185" t="s">
        <v>269</v>
      </c>
      <c r="C1185" s="3">
        <v>36.340000000000003</v>
      </c>
      <c r="D1185" s="3">
        <v>127.22</v>
      </c>
      <c r="E1185" t="s">
        <v>15</v>
      </c>
      <c r="F1185" t="s">
        <v>19</v>
      </c>
      <c r="G1185" t="s">
        <v>60</v>
      </c>
      <c r="I1185" t="s">
        <v>12</v>
      </c>
      <c r="J1185" t="s">
        <v>12</v>
      </c>
      <c r="K1185" t="s">
        <v>12</v>
      </c>
      <c r="L1185" t="s">
        <v>519</v>
      </c>
      <c r="M1185" t="s">
        <v>935</v>
      </c>
      <c r="O1185">
        <v>27</v>
      </c>
      <c r="P1185">
        <v>16</v>
      </c>
      <c r="EG1185">
        <v>1</v>
      </c>
      <c r="EH1185">
        <v>1</v>
      </c>
      <c r="EI1185">
        <v>1</v>
      </c>
      <c r="EJ1185">
        <v>1</v>
      </c>
      <c r="EK1185">
        <v>1</v>
      </c>
      <c r="EL1185">
        <v>1</v>
      </c>
      <c r="EM1185">
        <v>1</v>
      </c>
      <c r="EN1185">
        <v>1</v>
      </c>
      <c r="EO1185">
        <v>1</v>
      </c>
      <c r="EP1185">
        <v>1</v>
      </c>
      <c r="EQ1185">
        <v>1</v>
      </c>
      <c r="ER1185">
        <v>1</v>
      </c>
    </row>
    <row r="1186" spans="1:192" x14ac:dyDescent="0.25">
      <c r="A1186" t="s">
        <v>370</v>
      </c>
      <c r="B1186" t="s">
        <v>269</v>
      </c>
      <c r="C1186" s="3">
        <v>36.64</v>
      </c>
      <c r="D1186" s="3">
        <v>127.48</v>
      </c>
      <c r="E1186" t="s">
        <v>12</v>
      </c>
      <c r="F1186" t="s">
        <v>21</v>
      </c>
      <c r="G1186" t="s">
        <v>106</v>
      </c>
      <c r="I1186" t="s">
        <v>15</v>
      </c>
      <c r="J1186" t="s">
        <v>15</v>
      </c>
      <c r="K1186" t="s">
        <v>12</v>
      </c>
      <c r="L1186" t="s">
        <v>485</v>
      </c>
      <c r="M1186" t="s">
        <v>953</v>
      </c>
      <c r="O1186">
        <v>43.6</v>
      </c>
      <c r="P1186">
        <v>22.5</v>
      </c>
      <c r="Z1186">
        <v>1</v>
      </c>
      <c r="AA1186">
        <v>0.5</v>
      </c>
    </row>
    <row r="1187" spans="1:192" x14ac:dyDescent="0.25">
      <c r="A1187" t="s">
        <v>370</v>
      </c>
      <c r="B1187" t="s">
        <v>269</v>
      </c>
      <c r="C1187" s="3">
        <v>36.64</v>
      </c>
      <c r="D1187" s="3">
        <v>127.48</v>
      </c>
      <c r="E1187" t="s">
        <v>12</v>
      </c>
      <c r="F1187" t="s">
        <v>21</v>
      </c>
      <c r="G1187" t="s">
        <v>106</v>
      </c>
      <c r="I1187" t="s">
        <v>15</v>
      </c>
      <c r="J1187" t="s">
        <v>15</v>
      </c>
      <c r="K1187" t="s">
        <v>12</v>
      </c>
      <c r="L1187" t="s">
        <v>485</v>
      </c>
      <c r="M1187" t="s">
        <v>953</v>
      </c>
      <c r="O1187">
        <v>44.1</v>
      </c>
      <c r="P1187">
        <v>19.399999999999999</v>
      </c>
      <c r="AC1187">
        <v>1</v>
      </c>
      <c r="AD1187">
        <v>0.5</v>
      </c>
    </row>
    <row r="1188" spans="1:192" x14ac:dyDescent="0.25">
      <c r="A1188" t="s">
        <v>370</v>
      </c>
      <c r="B1188" t="s">
        <v>269</v>
      </c>
      <c r="C1188" s="3">
        <v>36.64</v>
      </c>
      <c r="D1188" s="3">
        <v>127.48</v>
      </c>
      <c r="E1188" t="s">
        <v>12</v>
      </c>
      <c r="F1188" t="s">
        <v>21</v>
      </c>
      <c r="G1188" t="s">
        <v>106</v>
      </c>
      <c r="I1188" t="s">
        <v>15</v>
      </c>
      <c r="J1188" t="s">
        <v>15</v>
      </c>
      <c r="K1188" t="s">
        <v>12</v>
      </c>
      <c r="L1188" t="s">
        <v>485</v>
      </c>
      <c r="M1188" t="s">
        <v>953</v>
      </c>
      <c r="O1188">
        <v>45.9</v>
      </c>
      <c r="P1188">
        <v>16.2</v>
      </c>
      <c r="AF1188">
        <v>1</v>
      </c>
      <c r="AG1188">
        <v>1</v>
      </c>
    </row>
    <row r="1189" spans="1:192" x14ac:dyDescent="0.25">
      <c r="A1189" t="s">
        <v>370</v>
      </c>
      <c r="B1189" t="s">
        <v>269</v>
      </c>
      <c r="C1189" s="3">
        <v>36.64</v>
      </c>
      <c r="D1189" s="3">
        <v>127.48</v>
      </c>
      <c r="E1189" t="s">
        <v>12</v>
      </c>
      <c r="F1189" t="s">
        <v>21</v>
      </c>
      <c r="G1189" t="s">
        <v>106</v>
      </c>
      <c r="I1189" t="s">
        <v>15</v>
      </c>
      <c r="J1189" t="s">
        <v>15</v>
      </c>
      <c r="K1189" t="s">
        <v>12</v>
      </c>
      <c r="L1189" t="s">
        <v>485</v>
      </c>
      <c r="M1189" t="s">
        <v>953</v>
      </c>
      <c r="O1189">
        <v>43.1</v>
      </c>
      <c r="P1189">
        <v>21.6</v>
      </c>
      <c r="AI1189">
        <v>0.5</v>
      </c>
      <c r="AJ1189">
        <v>0.5</v>
      </c>
    </row>
    <row r="1190" spans="1:192" x14ac:dyDescent="0.25">
      <c r="A1190" t="s">
        <v>370</v>
      </c>
      <c r="B1190" t="s">
        <v>269</v>
      </c>
      <c r="C1190" s="3">
        <v>36.6</v>
      </c>
      <c r="D1190" s="3">
        <v>127.45</v>
      </c>
      <c r="E1190" t="s">
        <v>12</v>
      </c>
      <c r="F1190" t="s">
        <v>77</v>
      </c>
      <c r="G1190" t="s">
        <v>106</v>
      </c>
      <c r="I1190" t="s">
        <v>15</v>
      </c>
      <c r="J1190" t="s">
        <v>15</v>
      </c>
      <c r="K1190" t="s">
        <v>15</v>
      </c>
      <c r="L1190" t="s">
        <v>372</v>
      </c>
      <c r="M1190" t="s">
        <v>1012</v>
      </c>
      <c r="O1190">
        <v>33.24</v>
      </c>
      <c r="P1190">
        <v>17.149999999999999</v>
      </c>
      <c r="BV1190">
        <v>0.5</v>
      </c>
    </row>
    <row r="1191" spans="1:192" x14ac:dyDescent="0.25">
      <c r="A1191" t="s">
        <v>590</v>
      </c>
      <c r="B1191" t="s">
        <v>269</v>
      </c>
      <c r="C1191" s="3">
        <v>37.880000000000003</v>
      </c>
      <c r="D1191" s="3">
        <v>127.73</v>
      </c>
      <c r="E1191" t="s">
        <v>12</v>
      </c>
      <c r="F1191" t="s">
        <v>77</v>
      </c>
      <c r="G1191" t="s">
        <v>97</v>
      </c>
      <c r="I1191" t="s">
        <v>12</v>
      </c>
      <c r="J1191" t="s">
        <v>15</v>
      </c>
      <c r="K1191" t="s">
        <v>12</v>
      </c>
      <c r="L1191" t="s">
        <v>594</v>
      </c>
      <c r="M1191" t="s">
        <v>885</v>
      </c>
      <c r="O1191">
        <v>32.4</v>
      </c>
      <c r="P1191">
        <v>12.5</v>
      </c>
      <c r="DE1191">
        <v>0.5</v>
      </c>
      <c r="DF1191">
        <v>1</v>
      </c>
      <c r="DG1191">
        <v>0.5</v>
      </c>
    </row>
    <row r="1192" spans="1:192" x14ac:dyDescent="0.25">
      <c r="A1192" t="s">
        <v>590</v>
      </c>
      <c r="B1192" t="s">
        <v>269</v>
      </c>
      <c r="C1192" s="3">
        <v>37.880000000000003</v>
      </c>
      <c r="D1192" s="3">
        <v>127.73</v>
      </c>
      <c r="E1192" t="s">
        <v>12</v>
      </c>
      <c r="F1192" t="s">
        <v>77</v>
      </c>
      <c r="G1192" t="s">
        <v>97</v>
      </c>
      <c r="I1192" t="s">
        <v>12</v>
      </c>
      <c r="J1192" t="s">
        <v>15</v>
      </c>
      <c r="K1192" t="s">
        <v>12</v>
      </c>
      <c r="L1192" t="s">
        <v>594</v>
      </c>
      <c r="M1192" t="s">
        <v>885</v>
      </c>
      <c r="O1192">
        <v>81.7</v>
      </c>
      <c r="P1192">
        <v>49.9</v>
      </c>
      <c r="DH1192">
        <v>0.5</v>
      </c>
      <c r="DI1192">
        <v>0.5</v>
      </c>
    </row>
    <row r="1193" spans="1:192" x14ac:dyDescent="0.25">
      <c r="A1193" t="s">
        <v>590</v>
      </c>
      <c r="B1193" t="s">
        <v>269</v>
      </c>
      <c r="C1193" s="3">
        <v>37.880000000000003</v>
      </c>
      <c r="D1193" s="3">
        <v>127.73</v>
      </c>
      <c r="E1193" t="s">
        <v>12</v>
      </c>
      <c r="F1193" t="s">
        <v>77</v>
      </c>
      <c r="G1193" t="s">
        <v>97</v>
      </c>
      <c r="I1193" t="s">
        <v>12</v>
      </c>
      <c r="J1193" t="s">
        <v>15</v>
      </c>
      <c r="K1193" t="s">
        <v>12</v>
      </c>
      <c r="L1193" t="s">
        <v>594</v>
      </c>
      <c r="M1193" t="s">
        <v>885</v>
      </c>
      <c r="O1193">
        <v>44.6</v>
      </c>
      <c r="P1193">
        <v>14.2</v>
      </c>
      <c r="DK1193">
        <v>0.25</v>
      </c>
      <c r="DL1193">
        <v>0.5</v>
      </c>
    </row>
    <row r="1194" spans="1:192" x14ac:dyDescent="0.25">
      <c r="A1194" t="s">
        <v>590</v>
      </c>
      <c r="B1194" t="s">
        <v>269</v>
      </c>
      <c r="C1194" s="3">
        <v>37.880000000000003</v>
      </c>
      <c r="D1194" s="3">
        <v>127.73</v>
      </c>
      <c r="E1194" t="s">
        <v>12</v>
      </c>
      <c r="F1194" t="s">
        <v>77</v>
      </c>
      <c r="G1194" t="s">
        <v>97</v>
      </c>
      <c r="I1194" t="s">
        <v>12</v>
      </c>
      <c r="J1194" t="s">
        <v>15</v>
      </c>
      <c r="K1194" t="s">
        <v>12</v>
      </c>
      <c r="L1194" t="s">
        <v>594</v>
      </c>
      <c r="M1194" t="s">
        <v>885</v>
      </c>
      <c r="O1194">
        <v>27.8</v>
      </c>
      <c r="P1194">
        <v>24.2</v>
      </c>
      <c r="DO1194">
        <v>0.25</v>
      </c>
      <c r="DP1194">
        <v>0.5</v>
      </c>
    </row>
    <row r="1195" spans="1:192" x14ac:dyDescent="0.25">
      <c r="A1195" t="s">
        <v>590</v>
      </c>
      <c r="B1195" t="s">
        <v>269</v>
      </c>
      <c r="C1195" s="3">
        <v>37.880000000000003</v>
      </c>
      <c r="D1195" s="3">
        <v>127.73</v>
      </c>
      <c r="E1195" t="s">
        <v>12</v>
      </c>
      <c r="F1195" t="s">
        <v>77</v>
      </c>
      <c r="G1195" t="s">
        <v>97</v>
      </c>
      <c r="I1195" t="s">
        <v>12</v>
      </c>
      <c r="J1195" t="s">
        <v>15</v>
      </c>
      <c r="K1195" t="s">
        <v>12</v>
      </c>
      <c r="L1195" t="s">
        <v>594</v>
      </c>
      <c r="M1195" t="s">
        <v>885</v>
      </c>
      <c r="O1195">
        <v>16.3</v>
      </c>
      <c r="P1195">
        <v>7.7</v>
      </c>
      <c r="DQ1195">
        <v>0.25</v>
      </c>
    </row>
    <row r="1196" spans="1:192" x14ac:dyDescent="0.25">
      <c r="A1196" t="s">
        <v>590</v>
      </c>
      <c r="B1196" t="s">
        <v>269</v>
      </c>
      <c r="C1196" s="3">
        <v>37.880000000000003</v>
      </c>
      <c r="D1196" s="3">
        <v>127.73</v>
      </c>
      <c r="E1196" t="s">
        <v>12</v>
      </c>
      <c r="F1196" t="s">
        <v>77</v>
      </c>
      <c r="G1196" t="s">
        <v>97</v>
      </c>
      <c r="I1196" t="s">
        <v>12</v>
      </c>
      <c r="J1196" t="s">
        <v>15</v>
      </c>
      <c r="K1196" t="s">
        <v>12</v>
      </c>
      <c r="L1196" t="s">
        <v>594</v>
      </c>
      <c r="M1196" t="s">
        <v>885</v>
      </c>
      <c r="O1196">
        <v>44.7</v>
      </c>
      <c r="P1196">
        <v>17.600000000000001</v>
      </c>
      <c r="DT1196">
        <v>0.5</v>
      </c>
    </row>
    <row r="1197" spans="1:192" x14ac:dyDescent="0.25">
      <c r="A1197" t="s">
        <v>590</v>
      </c>
      <c r="B1197" t="s">
        <v>269</v>
      </c>
      <c r="C1197" s="3">
        <v>37.880000000000003</v>
      </c>
      <c r="D1197" s="3">
        <v>127.73</v>
      </c>
      <c r="E1197" t="s">
        <v>12</v>
      </c>
      <c r="F1197" t="s">
        <v>77</v>
      </c>
      <c r="G1197" t="s">
        <v>97</v>
      </c>
      <c r="I1197" t="s">
        <v>15</v>
      </c>
      <c r="J1197" t="s">
        <v>15</v>
      </c>
      <c r="K1197" t="s">
        <v>15</v>
      </c>
      <c r="L1197" t="s">
        <v>589</v>
      </c>
      <c r="M1197" t="s">
        <v>888</v>
      </c>
      <c r="O1197">
        <v>41.1</v>
      </c>
      <c r="P1197">
        <v>28.8</v>
      </c>
      <c r="EU1197">
        <v>1</v>
      </c>
      <c r="EV1197">
        <v>1</v>
      </c>
      <c r="EW1197">
        <v>1</v>
      </c>
      <c r="FG1197">
        <v>1</v>
      </c>
      <c r="FH1197">
        <v>1</v>
      </c>
      <c r="FI1197">
        <v>1</v>
      </c>
      <c r="FS1197">
        <v>1</v>
      </c>
      <c r="FT1197">
        <v>1</v>
      </c>
      <c r="FU1197">
        <v>1</v>
      </c>
      <c r="GE1197">
        <v>1</v>
      </c>
      <c r="GF1197">
        <v>1</v>
      </c>
      <c r="GG1197">
        <v>1</v>
      </c>
    </row>
    <row r="1198" spans="1:192" x14ac:dyDescent="0.25">
      <c r="A1198" t="s">
        <v>590</v>
      </c>
      <c r="B1198" t="s">
        <v>269</v>
      </c>
      <c r="C1198" s="3">
        <v>37.880000000000003</v>
      </c>
      <c r="D1198" s="3">
        <v>127.73</v>
      </c>
      <c r="E1198" t="s">
        <v>12</v>
      </c>
      <c r="F1198" t="s">
        <v>77</v>
      </c>
      <c r="G1198" t="s">
        <v>97</v>
      </c>
      <c r="I1198" t="s">
        <v>15</v>
      </c>
      <c r="J1198" t="s">
        <v>15</v>
      </c>
      <c r="K1198" t="s">
        <v>15</v>
      </c>
      <c r="L1198" t="s">
        <v>589</v>
      </c>
      <c r="M1198" t="s">
        <v>888</v>
      </c>
      <c r="O1198">
        <v>22.6</v>
      </c>
      <c r="P1198">
        <v>18</v>
      </c>
      <c r="EX1198">
        <v>1</v>
      </c>
      <c r="EY1198">
        <v>1</v>
      </c>
      <c r="EZ1198">
        <v>1</v>
      </c>
      <c r="FJ1198">
        <v>1</v>
      </c>
      <c r="FK1198">
        <v>1</v>
      </c>
      <c r="FL1198">
        <v>1</v>
      </c>
      <c r="FV1198">
        <v>1</v>
      </c>
      <c r="FW1198">
        <v>1</v>
      </c>
      <c r="FX1198">
        <v>1</v>
      </c>
      <c r="GH1198">
        <v>1</v>
      </c>
      <c r="GI1198">
        <v>1</v>
      </c>
      <c r="GJ1198">
        <v>1</v>
      </c>
    </row>
    <row r="1199" spans="1:192" x14ac:dyDescent="0.25">
      <c r="A1199" t="s">
        <v>590</v>
      </c>
      <c r="B1199" t="s">
        <v>269</v>
      </c>
      <c r="C1199" s="3">
        <v>37.880000000000003</v>
      </c>
      <c r="D1199" s="3">
        <v>127.73</v>
      </c>
      <c r="E1199" t="s">
        <v>12</v>
      </c>
      <c r="F1199" t="s">
        <v>77</v>
      </c>
      <c r="G1199" t="s">
        <v>97</v>
      </c>
      <c r="I1199" t="s">
        <v>15</v>
      </c>
      <c r="J1199" t="s">
        <v>15</v>
      </c>
      <c r="K1199" t="s">
        <v>15</v>
      </c>
      <c r="L1199" t="s">
        <v>589</v>
      </c>
      <c r="M1199" t="s">
        <v>888</v>
      </c>
      <c r="O1199">
        <v>30.2</v>
      </c>
      <c r="P1199">
        <v>21.7</v>
      </c>
      <c r="FA1199">
        <v>1</v>
      </c>
      <c r="FB1199">
        <v>1</v>
      </c>
      <c r="FC1199">
        <v>1</v>
      </c>
      <c r="FM1199">
        <v>1</v>
      </c>
      <c r="FN1199">
        <v>1</v>
      </c>
      <c r="FO1199">
        <v>1</v>
      </c>
      <c r="FY1199">
        <v>1</v>
      </c>
      <c r="FZ1199">
        <v>1</v>
      </c>
      <c r="GA1199">
        <v>1</v>
      </c>
    </row>
    <row r="1200" spans="1:192" x14ac:dyDescent="0.25">
      <c r="A1200" t="s">
        <v>590</v>
      </c>
      <c r="B1200" t="s">
        <v>269</v>
      </c>
      <c r="C1200" s="3">
        <v>37.880000000000003</v>
      </c>
      <c r="D1200" s="3">
        <v>127.73</v>
      </c>
      <c r="E1200" t="s">
        <v>12</v>
      </c>
      <c r="F1200" t="s">
        <v>77</v>
      </c>
      <c r="G1200" t="s">
        <v>97</v>
      </c>
      <c r="I1200" t="s">
        <v>15</v>
      </c>
      <c r="J1200" t="s">
        <v>15</v>
      </c>
      <c r="K1200" t="s">
        <v>15</v>
      </c>
      <c r="L1200" t="s">
        <v>589</v>
      </c>
      <c r="M1200" t="s">
        <v>888</v>
      </c>
      <c r="O1200">
        <v>44</v>
      </c>
      <c r="P1200">
        <v>23.6</v>
      </c>
      <c r="ER1200">
        <v>1</v>
      </c>
      <c r="ES1200">
        <v>1</v>
      </c>
      <c r="ET1200">
        <v>1</v>
      </c>
      <c r="FD1200">
        <v>1</v>
      </c>
      <c r="FE1200">
        <v>1</v>
      </c>
      <c r="FF1200">
        <v>1</v>
      </c>
      <c r="FP1200">
        <v>1</v>
      </c>
      <c r="FQ1200">
        <v>1</v>
      </c>
      <c r="FR1200">
        <v>1</v>
      </c>
      <c r="GB1200">
        <v>1</v>
      </c>
      <c r="GC1200">
        <v>1</v>
      </c>
      <c r="GD1200">
        <v>1</v>
      </c>
    </row>
    <row r="1201" spans="1:184" x14ac:dyDescent="0.25">
      <c r="A1201" t="s">
        <v>590</v>
      </c>
      <c r="B1201" t="s">
        <v>269</v>
      </c>
      <c r="C1201" s="3">
        <v>37.880000000000003</v>
      </c>
      <c r="D1201" s="3">
        <v>127.73</v>
      </c>
      <c r="E1201" t="s">
        <v>12</v>
      </c>
      <c r="F1201" t="s">
        <v>77</v>
      </c>
      <c r="G1201" t="s">
        <v>97</v>
      </c>
      <c r="I1201" t="s">
        <v>15</v>
      </c>
      <c r="J1201" t="s">
        <v>15</v>
      </c>
      <c r="K1201" t="s">
        <v>15</v>
      </c>
      <c r="L1201" t="s">
        <v>589</v>
      </c>
      <c r="M1201" t="s">
        <v>888</v>
      </c>
      <c r="O1201">
        <v>37</v>
      </c>
      <c r="ES1201">
        <v>1</v>
      </c>
      <c r="ET1201">
        <v>1</v>
      </c>
      <c r="EU1201">
        <v>1</v>
      </c>
      <c r="EV1201">
        <v>1</v>
      </c>
      <c r="EW1201">
        <v>1</v>
      </c>
      <c r="EX1201">
        <v>1</v>
      </c>
      <c r="EY1201">
        <v>1</v>
      </c>
      <c r="EZ1201">
        <v>1</v>
      </c>
      <c r="FA1201">
        <v>1</v>
      </c>
      <c r="FB1201">
        <v>1</v>
      </c>
      <c r="FC1201">
        <v>1</v>
      </c>
      <c r="FD1201">
        <v>1</v>
      </c>
    </row>
    <row r="1202" spans="1:184" x14ac:dyDescent="0.25">
      <c r="A1202" t="s">
        <v>590</v>
      </c>
      <c r="B1202" t="s">
        <v>269</v>
      </c>
      <c r="C1202" s="3">
        <v>37.880000000000003</v>
      </c>
      <c r="D1202" s="3">
        <v>127.73</v>
      </c>
      <c r="E1202" t="s">
        <v>12</v>
      </c>
      <c r="F1202" t="s">
        <v>77</v>
      </c>
      <c r="G1202" t="s">
        <v>97</v>
      </c>
      <c r="I1202" t="s">
        <v>15</v>
      </c>
      <c r="J1202" t="s">
        <v>15</v>
      </c>
      <c r="K1202" t="s">
        <v>15</v>
      </c>
      <c r="L1202" t="s">
        <v>589</v>
      </c>
      <c r="M1202" t="s">
        <v>888</v>
      </c>
      <c r="O1202">
        <v>36.6</v>
      </c>
      <c r="FE1202">
        <v>1</v>
      </c>
      <c r="FF1202">
        <v>1</v>
      </c>
      <c r="FG1202">
        <v>1</v>
      </c>
      <c r="FH1202">
        <v>1</v>
      </c>
      <c r="FI1202">
        <v>1</v>
      </c>
      <c r="FJ1202">
        <v>1</v>
      </c>
      <c r="FK1202">
        <v>1</v>
      </c>
      <c r="FL1202">
        <v>1</v>
      </c>
      <c r="FM1202">
        <v>1</v>
      </c>
      <c r="FN1202">
        <v>1</v>
      </c>
      <c r="FO1202">
        <v>1</v>
      </c>
      <c r="FP1202">
        <v>1</v>
      </c>
    </row>
    <row r="1203" spans="1:184" x14ac:dyDescent="0.25">
      <c r="A1203" t="s">
        <v>590</v>
      </c>
      <c r="B1203" t="s">
        <v>269</v>
      </c>
      <c r="C1203" s="3">
        <v>37.880000000000003</v>
      </c>
      <c r="D1203" s="3">
        <v>127.73</v>
      </c>
      <c r="E1203" t="s">
        <v>12</v>
      </c>
      <c r="F1203" t="s">
        <v>77</v>
      </c>
      <c r="G1203" t="s">
        <v>97</v>
      </c>
      <c r="I1203" t="s">
        <v>15</v>
      </c>
      <c r="J1203" t="s">
        <v>15</v>
      </c>
      <c r="K1203" t="s">
        <v>15</v>
      </c>
      <c r="L1203" t="s">
        <v>589</v>
      </c>
      <c r="M1203" t="s">
        <v>888</v>
      </c>
      <c r="O1203">
        <v>34.299999999999997</v>
      </c>
      <c r="FQ1203">
        <v>1</v>
      </c>
      <c r="FR1203">
        <v>1</v>
      </c>
      <c r="FS1203">
        <v>1</v>
      </c>
      <c r="FT1203">
        <v>1</v>
      </c>
      <c r="FU1203">
        <v>1</v>
      </c>
      <c r="FV1203">
        <v>1</v>
      </c>
      <c r="FW1203">
        <v>1</v>
      </c>
      <c r="FX1203">
        <v>1</v>
      </c>
      <c r="FY1203">
        <v>1</v>
      </c>
      <c r="FZ1203">
        <v>1</v>
      </c>
      <c r="GA1203">
        <v>1</v>
      </c>
      <c r="GB1203">
        <v>1</v>
      </c>
    </row>
    <row r="1204" spans="1:184" x14ac:dyDescent="0.25">
      <c r="A1204" t="s">
        <v>567</v>
      </c>
      <c r="B1204" t="s">
        <v>269</v>
      </c>
      <c r="C1204" s="3">
        <v>36.35</v>
      </c>
      <c r="D1204" s="3">
        <v>127.38</v>
      </c>
      <c r="E1204" t="s">
        <v>12</v>
      </c>
      <c r="F1204" t="s">
        <v>77</v>
      </c>
      <c r="G1204" t="s">
        <v>106</v>
      </c>
      <c r="I1204" t="s">
        <v>15</v>
      </c>
      <c r="J1204" t="s">
        <v>12</v>
      </c>
      <c r="K1204" t="s">
        <v>12</v>
      </c>
      <c r="L1204" t="s">
        <v>839</v>
      </c>
      <c r="M1204" t="s">
        <v>838</v>
      </c>
      <c r="O1204">
        <v>8.3000000000000007</v>
      </c>
      <c r="P1204">
        <v>4.12</v>
      </c>
      <c r="BY1204">
        <v>1</v>
      </c>
      <c r="BZ1204">
        <v>1</v>
      </c>
      <c r="CA1204">
        <v>1</v>
      </c>
      <c r="CB1204">
        <v>1</v>
      </c>
      <c r="CC1204">
        <v>1</v>
      </c>
      <c r="CD1204">
        <v>1</v>
      </c>
      <c r="CE1204">
        <v>1</v>
      </c>
      <c r="CF1204">
        <v>1</v>
      </c>
      <c r="CG1204">
        <v>1</v>
      </c>
      <c r="CH1204">
        <v>1</v>
      </c>
      <c r="CI1204">
        <v>1</v>
      </c>
      <c r="CJ1204">
        <v>1</v>
      </c>
    </row>
    <row r="1205" spans="1:184" x14ac:dyDescent="0.25">
      <c r="A1205" t="s">
        <v>567</v>
      </c>
      <c r="B1205" t="s">
        <v>269</v>
      </c>
      <c r="C1205" s="3">
        <v>36.35</v>
      </c>
      <c r="D1205" s="3">
        <v>127.38</v>
      </c>
      <c r="E1205" t="s">
        <v>12</v>
      </c>
      <c r="F1205" t="s">
        <v>77</v>
      </c>
      <c r="G1205" t="s">
        <v>106</v>
      </c>
      <c r="I1205" t="s">
        <v>15</v>
      </c>
      <c r="J1205" t="s">
        <v>12</v>
      </c>
      <c r="K1205" t="s">
        <v>12</v>
      </c>
      <c r="L1205" t="s">
        <v>839</v>
      </c>
      <c r="M1205" t="s">
        <v>838</v>
      </c>
      <c r="O1205">
        <v>7.12</v>
      </c>
      <c r="P1205">
        <v>4.41</v>
      </c>
      <c r="CK1205">
        <v>1</v>
      </c>
      <c r="CL1205">
        <v>1</v>
      </c>
      <c r="CM1205">
        <v>1</v>
      </c>
      <c r="CN1205">
        <v>1</v>
      </c>
      <c r="CO1205">
        <v>1</v>
      </c>
      <c r="CP1205">
        <v>1</v>
      </c>
      <c r="CQ1205">
        <v>1</v>
      </c>
      <c r="CR1205">
        <v>1</v>
      </c>
      <c r="CS1205">
        <v>1</v>
      </c>
      <c r="CT1205">
        <v>1</v>
      </c>
      <c r="CU1205">
        <v>1</v>
      </c>
      <c r="CV1205">
        <v>1</v>
      </c>
    </row>
    <row r="1206" spans="1:184" x14ac:dyDescent="0.25">
      <c r="A1206" t="s">
        <v>567</v>
      </c>
      <c r="B1206" t="s">
        <v>269</v>
      </c>
      <c r="C1206" s="3">
        <v>36.35</v>
      </c>
      <c r="D1206" s="3">
        <v>127.38</v>
      </c>
      <c r="E1206" t="s">
        <v>12</v>
      </c>
      <c r="F1206" t="s">
        <v>77</v>
      </c>
      <c r="G1206" t="s">
        <v>106</v>
      </c>
      <c r="I1206" t="s">
        <v>15</v>
      </c>
      <c r="J1206" t="s">
        <v>12</v>
      </c>
      <c r="K1206" t="s">
        <v>12</v>
      </c>
      <c r="L1206" t="s">
        <v>839</v>
      </c>
      <c r="M1206" t="s">
        <v>838</v>
      </c>
      <c r="O1206">
        <v>10</v>
      </c>
      <c r="P1206">
        <v>3.18</v>
      </c>
      <c r="CW1206">
        <v>1</v>
      </c>
      <c r="CX1206">
        <v>1</v>
      </c>
      <c r="CY1206">
        <v>1</v>
      </c>
      <c r="CZ1206">
        <v>1</v>
      </c>
      <c r="DA1206">
        <v>1</v>
      </c>
      <c r="DB1206">
        <v>1</v>
      </c>
      <c r="DC1206">
        <v>1</v>
      </c>
      <c r="DD1206">
        <v>1</v>
      </c>
      <c r="DE1206">
        <v>1</v>
      </c>
      <c r="DF1206">
        <v>1</v>
      </c>
      <c r="DG1206">
        <v>1</v>
      </c>
      <c r="DH1206">
        <v>1</v>
      </c>
    </row>
    <row r="1207" spans="1:184" x14ac:dyDescent="0.25">
      <c r="A1207" t="s">
        <v>567</v>
      </c>
      <c r="B1207" t="s">
        <v>269</v>
      </c>
      <c r="C1207" s="3">
        <v>36.35</v>
      </c>
      <c r="D1207" s="3">
        <v>127.38</v>
      </c>
      <c r="E1207" t="s">
        <v>12</v>
      </c>
      <c r="F1207" t="s">
        <v>77</v>
      </c>
      <c r="G1207" t="s">
        <v>106</v>
      </c>
      <c r="I1207" t="s">
        <v>15</v>
      </c>
      <c r="J1207" t="s">
        <v>12</v>
      </c>
      <c r="K1207" t="s">
        <v>12</v>
      </c>
      <c r="L1207" t="s">
        <v>839</v>
      </c>
      <c r="M1207" t="s">
        <v>838</v>
      </c>
      <c r="O1207">
        <v>15.1</v>
      </c>
      <c r="P1207">
        <v>6.24</v>
      </c>
      <c r="DI1207">
        <v>1</v>
      </c>
      <c r="DJ1207">
        <v>1</v>
      </c>
      <c r="DK1207">
        <v>1</v>
      </c>
      <c r="DL1207">
        <v>1</v>
      </c>
      <c r="DM1207">
        <v>1</v>
      </c>
      <c r="DN1207">
        <v>1</v>
      </c>
      <c r="DO1207">
        <v>1</v>
      </c>
      <c r="DP1207">
        <v>1</v>
      </c>
      <c r="DQ1207">
        <v>1</v>
      </c>
      <c r="DR1207">
        <v>1</v>
      </c>
      <c r="DS1207">
        <v>1</v>
      </c>
      <c r="DT1207">
        <v>1</v>
      </c>
    </row>
    <row r="1208" spans="1:184" x14ac:dyDescent="0.25">
      <c r="A1208" t="s">
        <v>567</v>
      </c>
      <c r="B1208" t="s">
        <v>269</v>
      </c>
      <c r="C1208" s="3">
        <v>36.35</v>
      </c>
      <c r="D1208" s="3">
        <v>127.4</v>
      </c>
      <c r="E1208" t="s">
        <v>15</v>
      </c>
      <c r="F1208" t="s">
        <v>22</v>
      </c>
      <c r="G1208" t="s">
        <v>106</v>
      </c>
      <c r="I1208" t="s">
        <v>12</v>
      </c>
      <c r="J1208" t="s">
        <v>12</v>
      </c>
      <c r="K1208" t="s">
        <v>12</v>
      </c>
      <c r="L1208" t="s">
        <v>560</v>
      </c>
      <c r="M1208" t="s">
        <v>906</v>
      </c>
      <c r="O1208">
        <v>10.45</v>
      </c>
      <c r="P1208">
        <v>7.73</v>
      </c>
      <c r="CW1208">
        <v>1</v>
      </c>
      <c r="CX1208">
        <v>1</v>
      </c>
      <c r="CY1208">
        <v>1</v>
      </c>
      <c r="CZ1208">
        <v>1</v>
      </c>
      <c r="DA1208">
        <v>1</v>
      </c>
      <c r="DB1208">
        <v>1</v>
      </c>
      <c r="DC1208">
        <v>1</v>
      </c>
      <c r="DD1208">
        <v>1</v>
      </c>
      <c r="DE1208">
        <v>1</v>
      </c>
      <c r="DF1208">
        <v>1</v>
      </c>
      <c r="DG1208">
        <v>1</v>
      </c>
      <c r="DH1208">
        <v>1</v>
      </c>
      <c r="DI1208">
        <v>1</v>
      </c>
      <c r="DJ1208">
        <v>1</v>
      </c>
      <c r="DK1208">
        <v>1</v>
      </c>
      <c r="DL1208">
        <v>1</v>
      </c>
      <c r="DM1208">
        <v>1</v>
      </c>
      <c r="DN1208">
        <v>1</v>
      </c>
      <c r="DO1208">
        <v>1</v>
      </c>
      <c r="DP1208">
        <v>1</v>
      </c>
      <c r="DQ1208">
        <v>1</v>
      </c>
      <c r="DR1208">
        <v>1</v>
      </c>
      <c r="DS1208">
        <v>1</v>
      </c>
      <c r="DT1208">
        <v>1</v>
      </c>
      <c r="DU1208">
        <v>1</v>
      </c>
      <c r="DV1208">
        <v>1</v>
      </c>
      <c r="DW1208">
        <v>1</v>
      </c>
      <c r="DX1208">
        <v>1</v>
      </c>
      <c r="DY1208">
        <v>1</v>
      </c>
      <c r="DZ1208">
        <v>1</v>
      </c>
      <c r="EA1208">
        <v>1</v>
      </c>
      <c r="EB1208">
        <v>1</v>
      </c>
      <c r="EC1208">
        <v>1</v>
      </c>
      <c r="ED1208">
        <v>1</v>
      </c>
      <c r="EE1208">
        <v>1</v>
      </c>
      <c r="EF1208">
        <v>1</v>
      </c>
      <c r="EG1208">
        <v>1</v>
      </c>
      <c r="EH1208">
        <v>1</v>
      </c>
      <c r="EI1208">
        <v>1</v>
      </c>
      <c r="EJ1208">
        <v>1</v>
      </c>
      <c r="EK1208">
        <v>1</v>
      </c>
      <c r="EL1208">
        <v>1</v>
      </c>
      <c r="EM1208">
        <v>1</v>
      </c>
      <c r="EN1208">
        <v>1</v>
      </c>
      <c r="EO1208">
        <v>1</v>
      </c>
      <c r="EP1208">
        <v>1</v>
      </c>
      <c r="EQ1208">
        <v>1</v>
      </c>
      <c r="ER1208">
        <v>1</v>
      </c>
    </row>
    <row r="1209" spans="1:184" x14ac:dyDescent="0.25">
      <c r="A1209" t="s">
        <v>567</v>
      </c>
      <c r="B1209" t="s">
        <v>269</v>
      </c>
      <c r="C1209" s="3">
        <v>36.42</v>
      </c>
      <c r="D1209" s="3">
        <v>127.37</v>
      </c>
      <c r="E1209" t="s">
        <v>15</v>
      </c>
      <c r="F1209" t="s">
        <v>21</v>
      </c>
      <c r="G1209" t="s">
        <v>106</v>
      </c>
      <c r="I1209" t="s">
        <v>12</v>
      </c>
      <c r="J1209" t="s">
        <v>12</v>
      </c>
      <c r="K1209" t="s">
        <v>12</v>
      </c>
      <c r="L1209" t="s">
        <v>560</v>
      </c>
      <c r="M1209" t="s">
        <v>906</v>
      </c>
      <c r="O1209">
        <v>12.48</v>
      </c>
      <c r="P1209">
        <v>5.58</v>
      </c>
      <c r="CW1209">
        <v>1</v>
      </c>
      <c r="CX1209">
        <v>1</v>
      </c>
      <c r="CY1209">
        <v>1</v>
      </c>
      <c r="CZ1209">
        <v>1</v>
      </c>
      <c r="DA1209">
        <v>1</v>
      </c>
      <c r="DB1209">
        <v>1</v>
      </c>
      <c r="DC1209">
        <v>1</v>
      </c>
      <c r="DD1209">
        <v>1</v>
      </c>
      <c r="DE1209">
        <v>1</v>
      </c>
      <c r="DF1209">
        <v>1</v>
      </c>
      <c r="DG1209">
        <v>1</v>
      </c>
      <c r="DH1209">
        <v>1</v>
      </c>
      <c r="DI1209">
        <v>1</v>
      </c>
      <c r="DJ1209">
        <v>1</v>
      </c>
      <c r="DK1209">
        <v>1</v>
      </c>
      <c r="DL1209">
        <v>1</v>
      </c>
      <c r="DM1209">
        <v>1</v>
      </c>
      <c r="DN1209">
        <v>1</v>
      </c>
      <c r="DO1209">
        <v>1</v>
      </c>
      <c r="DP1209">
        <v>1</v>
      </c>
      <c r="DQ1209">
        <v>1</v>
      </c>
      <c r="DR1209">
        <v>1</v>
      </c>
      <c r="DS1209">
        <v>1</v>
      </c>
      <c r="DT1209">
        <v>1</v>
      </c>
      <c r="DU1209">
        <v>1</v>
      </c>
      <c r="DV1209">
        <v>1</v>
      </c>
      <c r="DW1209">
        <v>1</v>
      </c>
      <c r="DX1209">
        <v>1</v>
      </c>
      <c r="DY1209">
        <v>1</v>
      </c>
      <c r="DZ1209">
        <v>1</v>
      </c>
      <c r="EA1209">
        <v>1</v>
      </c>
      <c r="EB1209">
        <v>1</v>
      </c>
      <c r="EC1209">
        <v>1</v>
      </c>
      <c r="ED1209">
        <v>1</v>
      </c>
      <c r="EE1209">
        <v>1</v>
      </c>
      <c r="EF1209">
        <v>1</v>
      </c>
      <c r="EG1209">
        <v>1</v>
      </c>
      <c r="EH1209">
        <v>1</v>
      </c>
      <c r="EI1209">
        <v>1</v>
      </c>
      <c r="EJ1209">
        <v>1</v>
      </c>
      <c r="EK1209">
        <v>1</v>
      </c>
      <c r="EL1209">
        <v>1</v>
      </c>
      <c r="EM1209">
        <v>1</v>
      </c>
      <c r="EN1209">
        <v>1</v>
      </c>
      <c r="EO1209">
        <v>1</v>
      </c>
      <c r="EP1209">
        <v>1</v>
      </c>
      <c r="EQ1209">
        <v>1</v>
      </c>
      <c r="ER1209">
        <v>1</v>
      </c>
    </row>
    <row r="1210" spans="1:184" x14ac:dyDescent="0.25">
      <c r="A1210" t="s">
        <v>522</v>
      </c>
      <c r="B1210" t="s">
        <v>269</v>
      </c>
      <c r="C1210" s="3">
        <f>37+13/60</f>
        <v>37.216666666666669</v>
      </c>
      <c r="D1210" s="3">
        <f>126+9/60</f>
        <v>126.15</v>
      </c>
      <c r="E1210" t="s">
        <v>15</v>
      </c>
      <c r="F1210" t="s">
        <v>20</v>
      </c>
      <c r="G1210" t="s">
        <v>106</v>
      </c>
      <c r="I1210" t="s">
        <v>15</v>
      </c>
      <c r="J1210" t="s">
        <v>15</v>
      </c>
      <c r="K1210" t="s">
        <v>12</v>
      </c>
      <c r="L1210" t="s">
        <v>521</v>
      </c>
      <c r="M1210" t="s">
        <v>933</v>
      </c>
      <c r="O1210">
        <v>25.7</v>
      </c>
      <c r="P1210">
        <v>23</v>
      </c>
      <c r="EP1210">
        <v>0.5</v>
      </c>
      <c r="ES1210">
        <v>0.5</v>
      </c>
      <c r="EV1210">
        <v>0.5</v>
      </c>
      <c r="EX1210">
        <v>0.5</v>
      </c>
      <c r="FB1210">
        <v>0.5</v>
      </c>
      <c r="FE1210">
        <v>0.5</v>
      </c>
      <c r="FH1210">
        <v>0.5</v>
      </c>
      <c r="FK1210">
        <v>0.5</v>
      </c>
    </row>
    <row r="1211" spans="1:184" x14ac:dyDescent="0.25">
      <c r="A1211" t="s">
        <v>516</v>
      </c>
      <c r="B1211" t="s">
        <v>269</v>
      </c>
      <c r="C1211" s="3">
        <f>33+17/60</f>
        <v>33.283333333333331</v>
      </c>
      <c r="D1211" s="3">
        <f>126+10/60</f>
        <v>126.16666666666667</v>
      </c>
      <c r="E1211" t="s">
        <v>15</v>
      </c>
      <c r="F1211" t="s">
        <v>20</v>
      </c>
      <c r="G1211" t="s">
        <v>97</v>
      </c>
      <c r="I1211" t="s">
        <v>15</v>
      </c>
      <c r="J1211" t="s">
        <v>15</v>
      </c>
      <c r="K1211" t="s">
        <v>15</v>
      </c>
      <c r="L1211" t="s">
        <v>591</v>
      </c>
      <c r="M1211" t="s">
        <v>887</v>
      </c>
      <c r="O1211">
        <v>37.729999999999997</v>
      </c>
      <c r="P1211">
        <v>23.68</v>
      </c>
      <c r="CY1211">
        <v>0.25</v>
      </c>
      <c r="CZ1211">
        <v>0.5</v>
      </c>
    </row>
    <row r="1212" spans="1:184" x14ac:dyDescent="0.25">
      <c r="A1212" t="s">
        <v>516</v>
      </c>
      <c r="B1212" t="s">
        <v>269</v>
      </c>
      <c r="C1212" s="3">
        <f>33+17/60</f>
        <v>33.283333333333331</v>
      </c>
      <c r="D1212" s="3">
        <f>126+10/60</f>
        <v>126.16666666666667</v>
      </c>
      <c r="E1212" t="s">
        <v>15</v>
      </c>
      <c r="F1212" t="s">
        <v>20</v>
      </c>
      <c r="G1212" t="s">
        <v>97</v>
      </c>
      <c r="I1212" t="s">
        <v>15</v>
      </c>
      <c r="J1212" t="s">
        <v>15</v>
      </c>
      <c r="K1212" t="s">
        <v>15</v>
      </c>
      <c r="L1212" t="s">
        <v>591</v>
      </c>
      <c r="M1212" t="s">
        <v>887</v>
      </c>
      <c r="O1212">
        <v>18.79</v>
      </c>
      <c r="P1212">
        <v>9.76</v>
      </c>
      <c r="DD1212">
        <v>0.25</v>
      </c>
      <c r="DE1212">
        <v>0.5</v>
      </c>
      <c r="DN1212">
        <v>0.5</v>
      </c>
      <c r="DP1212">
        <v>0.5</v>
      </c>
    </row>
    <row r="1213" spans="1:184" x14ac:dyDescent="0.25">
      <c r="A1213" t="s">
        <v>516</v>
      </c>
      <c r="B1213" t="s">
        <v>269</v>
      </c>
      <c r="C1213" s="3">
        <f>33+17/60</f>
        <v>33.283333333333331</v>
      </c>
      <c r="D1213" s="3">
        <f>126+10/60</f>
        <v>126.16666666666667</v>
      </c>
      <c r="E1213" t="s">
        <v>15</v>
      </c>
      <c r="F1213" t="s">
        <v>20</v>
      </c>
      <c r="G1213" t="s">
        <v>97</v>
      </c>
      <c r="I1213" t="s">
        <v>15</v>
      </c>
      <c r="J1213" t="s">
        <v>15</v>
      </c>
      <c r="K1213" t="s">
        <v>15</v>
      </c>
      <c r="L1213" t="s">
        <v>591</v>
      </c>
      <c r="M1213" t="s">
        <v>887</v>
      </c>
      <c r="O1213">
        <v>18.809999999999999</v>
      </c>
      <c r="P1213">
        <v>12.5</v>
      </c>
      <c r="CU1213">
        <v>0.5</v>
      </c>
    </row>
    <row r="1214" spans="1:184" x14ac:dyDescent="0.25">
      <c r="A1214" t="s">
        <v>516</v>
      </c>
      <c r="B1214" t="s">
        <v>269</v>
      </c>
      <c r="C1214" s="3">
        <f>33+17/60</f>
        <v>33.283333333333331</v>
      </c>
      <c r="D1214" s="3">
        <f>126+10/60</f>
        <v>126.16666666666667</v>
      </c>
      <c r="E1214" t="s">
        <v>15</v>
      </c>
      <c r="F1214" t="s">
        <v>20</v>
      </c>
      <c r="G1214" t="s">
        <v>97</v>
      </c>
      <c r="I1214" t="s">
        <v>15</v>
      </c>
      <c r="J1214" t="s">
        <v>15</v>
      </c>
      <c r="K1214" t="s">
        <v>15</v>
      </c>
      <c r="L1214" t="s">
        <v>591</v>
      </c>
      <c r="M1214" t="s">
        <v>887</v>
      </c>
      <c r="O1214">
        <v>27.91</v>
      </c>
      <c r="P1214">
        <v>14.72</v>
      </c>
      <c r="DJ1214">
        <v>0.5</v>
      </c>
    </row>
    <row r="1215" spans="1:184" x14ac:dyDescent="0.25">
      <c r="A1215" t="s">
        <v>516</v>
      </c>
      <c r="B1215" t="s">
        <v>269</v>
      </c>
      <c r="C1215" s="3">
        <f>33+17/60</f>
        <v>33.283333333333331</v>
      </c>
      <c r="D1215" s="3">
        <f>126+10/60</f>
        <v>126.16666666666667</v>
      </c>
      <c r="E1215" t="s">
        <v>15</v>
      </c>
      <c r="F1215" t="s">
        <v>20</v>
      </c>
      <c r="G1215" t="s">
        <v>106</v>
      </c>
      <c r="I1215" t="s">
        <v>15</v>
      </c>
      <c r="J1215" t="s">
        <v>15</v>
      </c>
      <c r="K1215" t="s">
        <v>12</v>
      </c>
      <c r="L1215" t="s">
        <v>521</v>
      </c>
      <c r="M1215" t="s">
        <v>933</v>
      </c>
      <c r="O1215">
        <v>17.600000000000001</v>
      </c>
      <c r="P1215">
        <v>11.2</v>
      </c>
      <c r="EP1215">
        <v>0.5</v>
      </c>
      <c r="ES1215">
        <v>0.5</v>
      </c>
      <c r="EV1215">
        <v>0.5</v>
      </c>
      <c r="EX1215">
        <v>0.5</v>
      </c>
      <c r="FB1215">
        <v>0.5</v>
      </c>
      <c r="FE1215">
        <v>0.5</v>
      </c>
      <c r="FH1215">
        <v>0.5</v>
      </c>
      <c r="FK1215">
        <v>0.5</v>
      </c>
    </row>
    <row r="1216" spans="1:184" x14ac:dyDescent="0.25">
      <c r="A1216" t="s">
        <v>516</v>
      </c>
      <c r="B1216" t="s">
        <v>269</v>
      </c>
      <c r="C1216" s="3">
        <v>33.299999999999997</v>
      </c>
      <c r="D1216" s="3">
        <v>126.18</v>
      </c>
      <c r="E1216" t="s">
        <v>12</v>
      </c>
      <c r="F1216" t="s">
        <v>20</v>
      </c>
      <c r="G1216" t="s">
        <v>106</v>
      </c>
      <c r="I1216" t="s">
        <v>15</v>
      </c>
      <c r="J1216" t="s">
        <v>15</v>
      </c>
      <c r="K1216" t="s">
        <v>15</v>
      </c>
      <c r="L1216" t="s">
        <v>520</v>
      </c>
      <c r="M1216" t="s">
        <v>934</v>
      </c>
      <c r="O1216">
        <v>16.3</v>
      </c>
      <c r="Q1216">
        <v>1</v>
      </c>
      <c r="R1216">
        <v>1</v>
      </c>
      <c r="S1216">
        <v>1</v>
      </c>
      <c r="T1216">
        <v>1</v>
      </c>
      <c r="U1216">
        <v>1</v>
      </c>
      <c r="V1216">
        <v>1</v>
      </c>
      <c r="W1216">
        <v>1</v>
      </c>
      <c r="X1216">
        <v>1</v>
      </c>
      <c r="Y1216">
        <v>1</v>
      </c>
      <c r="Z1216">
        <v>1</v>
      </c>
      <c r="AA1216">
        <v>1</v>
      </c>
      <c r="AB1216">
        <v>1</v>
      </c>
    </row>
    <row r="1217" spans="1:172" x14ac:dyDescent="0.25">
      <c r="A1217" t="s">
        <v>516</v>
      </c>
      <c r="B1217" t="s">
        <v>269</v>
      </c>
      <c r="C1217" s="3">
        <v>33.299999999999997</v>
      </c>
      <c r="D1217" s="3">
        <v>126.18</v>
      </c>
      <c r="E1217" t="s">
        <v>12</v>
      </c>
      <c r="F1217" t="s">
        <v>20</v>
      </c>
      <c r="G1217" t="s">
        <v>106</v>
      </c>
      <c r="I1217" t="s">
        <v>15</v>
      </c>
      <c r="J1217" t="s">
        <v>15</v>
      </c>
      <c r="K1217" t="s">
        <v>15</v>
      </c>
      <c r="L1217" t="s">
        <v>520</v>
      </c>
      <c r="M1217" t="s">
        <v>934</v>
      </c>
      <c r="O1217">
        <v>19.5</v>
      </c>
      <c r="AC1217">
        <v>1</v>
      </c>
      <c r="AD1217">
        <v>1</v>
      </c>
      <c r="AE1217">
        <v>1</v>
      </c>
      <c r="AF1217">
        <v>1</v>
      </c>
      <c r="AG1217">
        <v>1</v>
      </c>
      <c r="AH1217">
        <v>1</v>
      </c>
      <c r="AI1217">
        <v>1</v>
      </c>
      <c r="AJ1217">
        <v>1</v>
      </c>
      <c r="AK1217">
        <v>1</v>
      </c>
      <c r="AL1217">
        <v>1</v>
      </c>
      <c r="AM1217">
        <v>1</v>
      </c>
      <c r="AN1217">
        <v>1</v>
      </c>
    </row>
    <row r="1218" spans="1:172" x14ac:dyDescent="0.25">
      <c r="A1218" t="s">
        <v>516</v>
      </c>
      <c r="B1218" t="s">
        <v>269</v>
      </c>
      <c r="C1218" s="3">
        <v>33.299999999999997</v>
      </c>
      <c r="D1218" s="3">
        <v>126.18</v>
      </c>
      <c r="E1218" t="s">
        <v>12</v>
      </c>
      <c r="F1218" t="s">
        <v>20</v>
      </c>
      <c r="G1218" t="s">
        <v>106</v>
      </c>
      <c r="I1218" t="s">
        <v>15</v>
      </c>
      <c r="J1218" t="s">
        <v>15</v>
      </c>
      <c r="K1218" t="s">
        <v>15</v>
      </c>
      <c r="L1218" t="s">
        <v>520</v>
      </c>
      <c r="M1218" t="s">
        <v>934</v>
      </c>
      <c r="O1218">
        <v>17.600000000000001</v>
      </c>
      <c r="AO1218">
        <v>1</v>
      </c>
      <c r="AP1218">
        <v>1</v>
      </c>
      <c r="AQ1218">
        <v>1</v>
      </c>
      <c r="AR1218">
        <v>1</v>
      </c>
      <c r="AS1218">
        <v>1</v>
      </c>
      <c r="AT1218">
        <v>1</v>
      </c>
      <c r="AU1218">
        <v>1</v>
      </c>
      <c r="AV1218">
        <v>1</v>
      </c>
      <c r="AW1218">
        <v>1</v>
      </c>
      <c r="AX1218">
        <v>1</v>
      </c>
      <c r="AY1218">
        <v>1</v>
      </c>
      <c r="AZ1218">
        <v>1</v>
      </c>
    </row>
    <row r="1219" spans="1:172" x14ac:dyDescent="0.25">
      <c r="A1219" t="s">
        <v>516</v>
      </c>
      <c r="B1219" t="s">
        <v>269</v>
      </c>
      <c r="C1219" s="3">
        <v>33.299999999999997</v>
      </c>
      <c r="D1219" s="3">
        <v>126.18</v>
      </c>
      <c r="E1219" t="s">
        <v>12</v>
      </c>
      <c r="F1219" t="s">
        <v>20</v>
      </c>
      <c r="G1219" t="s">
        <v>106</v>
      </c>
      <c r="I1219" t="s">
        <v>15</v>
      </c>
      <c r="J1219" t="s">
        <v>15</v>
      </c>
      <c r="K1219" t="s">
        <v>15</v>
      </c>
      <c r="L1219" t="s">
        <v>520</v>
      </c>
      <c r="M1219" t="s">
        <v>934</v>
      </c>
      <c r="O1219">
        <v>15.5</v>
      </c>
      <c r="BA1219">
        <v>1</v>
      </c>
      <c r="BB1219">
        <v>1</v>
      </c>
      <c r="BC1219">
        <v>1</v>
      </c>
      <c r="BD1219">
        <v>1</v>
      </c>
      <c r="BE1219">
        <v>1</v>
      </c>
      <c r="BF1219">
        <v>1</v>
      </c>
      <c r="BG1219">
        <v>1</v>
      </c>
      <c r="BH1219">
        <v>1</v>
      </c>
      <c r="BI1219">
        <v>1</v>
      </c>
      <c r="BJ1219">
        <v>1</v>
      </c>
      <c r="BK1219">
        <v>1</v>
      </c>
      <c r="BL1219">
        <v>1</v>
      </c>
    </row>
    <row r="1220" spans="1:172" x14ac:dyDescent="0.25">
      <c r="A1220" t="s">
        <v>516</v>
      </c>
      <c r="B1220" t="s">
        <v>269</v>
      </c>
      <c r="C1220" s="3">
        <v>33.299999999999997</v>
      </c>
      <c r="D1220" s="3">
        <v>126.18</v>
      </c>
      <c r="E1220" t="s">
        <v>12</v>
      </c>
      <c r="F1220" t="s">
        <v>20</v>
      </c>
      <c r="G1220" t="s">
        <v>106</v>
      </c>
      <c r="I1220" t="s">
        <v>15</v>
      </c>
      <c r="J1220" t="s">
        <v>15</v>
      </c>
      <c r="K1220" t="s">
        <v>15</v>
      </c>
      <c r="L1220" t="s">
        <v>520</v>
      </c>
      <c r="M1220" t="s">
        <v>934</v>
      </c>
      <c r="O1220">
        <v>20.2</v>
      </c>
      <c r="BM1220">
        <v>1</v>
      </c>
      <c r="BN1220">
        <v>1</v>
      </c>
      <c r="BO1220">
        <v>1</v>
      </c>
      <c r="BP1220">
        <v>1</v>
      </c>
      <c r="BQ1220">
        <v>1</v>
      </c>
      <c r="BR1220">
        <v>1</v>
      </c>
      <c r="BS1220">
        <v>1</v>
      </c>
      <c r="BT1220">
        <v>1</v>
      </c>
      <c r="BU1220">
        <v>1</v>
      </c>
      <c r="BV1220">
        <v>1</v>
      </c>
      <c r="BW1220">
        <v>1</v>
      </c>
      <c r="BX1220">
        <v>1</v>
      </c>
    </row>
    <row r="1221" spans="1:172" x14ac:dyDescent="0.25">
      <c r="A1221" t="s">
        <v>516</v>
      </c>
      <c r="B1221" t="s">
        <v>269</v>
      </c>
      <c r="C1221" s="3">
        <v>33.299999999999997</v>
      </c>
      <c r="D1221" s="3">
        <v>126.18</v>
      </c>
      <c r="E1221" t="s">
        <v>12</v>
      </c>
      <c r="F1221" t="s">
        <v>20</v>
      </c>
      <c r="G1221" t="s">
        <v>106</v>
      </c>
      <c r="I1221" t="s">
        <v>15</v>
      </c>
      <c r="J1221" t="s">
        <v>15</v>
      </c>
      <c r="K1221" t="s">
        <v>15</v>
      </c>
      <c r="L1221" t="s">
        <v>520</v>
      </c>
      <c r="M1221" t="s">
        <v>934</v>
      </c>
      <c r="O1221">
        <v>21.7</v>
      </c>
      <c r="BY1221">
        <v>1</v>
      </c>
      <c r="BZ1221">
        <v>1</v>
      </c>
      <c r="CA1221">
        <v>1</v>
      </c>
      <c r="CB1221">
        <v>1</v>
      </c>
      <c r="CC1221">
        <v>1</v>
      </c>
      <c r="CD1221">
        <v>1</v>
      </c>
      <c r="CE1221">
        <v>1</v>
      </c>
      <c r="CF1221">
        <v>1</v>
      </c>
      <c r="CG1221">
        <v>1</v>
      </c>
      <c r="CH1221">
        <v>1</v>
      </c>
      <c r="CI1221">
        <v>1</v>
      </c>
      <c r="CJ1221">
        <v>1</v>
      </c>
    </row>
    <row r="1222" spans="1:172" x14ac:dyDescent="0.25">
      <c r="A1222" t="s">
        <v>516</v>
      </c>
      <c r="B1222" t="s">
        <v>269</v>
      </c>
      <c r="C1222" s="3">
        <v>33.299999999999997</v>
      </c>
      <c r="D1222" s="3">
        <v>126.18</v>
      </c>
      <c r="E1222" t="s">
        <v>12</v>
      </c>
      <c r="F1222" t="s">
        <v>20</v>
      </c>
      <c r="G1222" t="s">
        <v>106</v>
      </c>
      <c r="I1222" t="s">
        <v>15</v>
      </c>
      <c r="J1222" t="s">
        <v>15</v>
      </c>
      <c r="K1222" t="s">
        <v>15</v>
      </c>
      <c r="L1222" t="s">
        <v>520</v>
      </c>
      <c r="M1222" t="s">
        <v>934</v>
      </c>
      <c r="O1222">
        <v>26.4</v>
      </c>
      <c r="CK1222">
        <v>1</v>
      </c>
      <c r="CL1222">
        <v>1</v>
      </c>
      <c r="CM1222">
        <v>1</v>
      </c>
      <c r="CN1222">
        <v>1</v>
      </c>
      <c r="CO1222">
        <v>1</v>
      </c>
      <c r="CP1222">
        <v>1</v>
      </c>
      <c r="CQ1222">
        <v>1</v>
      </c>
      <c r="CR1222">
        <v>1</v>
      </c>
      <c r="CS1222">
        <v>1</v>
      </c>
      <c r="CT1222">
        <v>1</v>
      </c>
      <c r="CU1222">
        <v>1</v>
      </c>
      <c r="CV1222">
        <v>1</v>
      </c>
    </row>
    <row r="1223" spans="1:172" x14ac:dyDescent="0.25">
      <c r="A1223" t="s">
        <v>516</v>
      </c>
      <c r="B1223" t="s">
        <v>269</v>
      </c>
      <c r="C1223" s="3">
        <v>33.299999999999997</v>
      </c>
      <c r="D1223" s="3">
        <v>126.18</v>
      </c>
      <c r="E1223" t="s">
        <v>12</v>
      </c>
      <c r="F1223" t="s">
        <v>20</v>
      </c>
      <c r="G1223" t="s">
        <v>106</v>
      </c>
      <c r="I1223" t="s">
        <v>15</v>
      </c>
      <c r="J1223" t="s">
        <v>15</v>
      </c>
      <c r="K1223" t="s">
        <v>15</v>
      </c>
      <c r="L1223" t="s">
        <v>520</v>
      </c>
      <c r="M1223" t="s">
        <v>934</v>
      </c>
      <c r="O1223">
        <v>19.5</v>
      </c>
      <c r="CW1223">
        <v>1</v>
      </c>
      <c r="CX1223">
        <v>1</v>
      </c>
      <c r="CY1223">
        <v>1</v>
      </c>
      <c r="CZ1223">
        <v>1</v>
      </c>
      <c r="DA1223">
        <v>1</v>
      </c>
      <c r="DB1223">
        <v>1</v>
      </c>
      <c r="DC1223">
        <v>1</v>
      </c>
      <c r="DD1223">
        <v>1</v>
      </c>
      <c r="DE1223">
        <v>1</v>
      </c>
      <c r="DF1223">
        <v>1</v>
      </c>
      <c r="DG1223">
        <v>1</v>
      </c>
      <c r="DH1223">
        <v>1</v>
      </c>
    </row>
    <row r="1224" spans="1:172" x14ac:dyDescent="0.25">
      <c r="A1224" t="s">
        <v>516</v>
      </c>
      <c r="B1224" t="s">
        <v>269</v>
      </c>
      <c r="C1224" s="3">
        <v>33.299999999999997</v>
      </c>
      <c r="D1224" s="3">
        <v>126.18</v>
      </c>
      <c r="E1224" t="s">
        <v>12</v>
      </c>
      <c r="F1224" t="s">
        <v>20</v>
      </c>
      <c r="G1224" t="s">
        <v>106</v>
      </c>
      <c r="I1224" t="s">
        <v>15</v>
      </c>
      <c r="J1224" t="s">
        <v>15</v>
      </c>
      <c r="K1224" t="s">
        <v>15</v>
      </c>
      <c r="L1224" t="s">
        <v>520</v>
      </c>
      <c r="M1224" t="s">
        <v>934</v>
      </c>
      <c r="O1224">
        <v>19</v>
      </c>
      <c r="DI1224">
        <v>1</v>
      </c>
      <c r="DJ1224">
        <v>1</v>
      </c>
      <c r="DK1224">
        <v>1</v>
      </c>
      <c r="DL1224">
        <v>1</v>
      </c>
      <c r="DM1224">
        <v>1</v>
      </c>
      <c r="DN1224">
        <v>1</v>
      </c>
      <c r="DO1224">
        <v>1</v>
      </c>
      <c r="DP1224">
        <v>1</v>
      </c>
      <c r="DQ1224">
        <v>1</v>
      </c>
      <c r="DR1224">
        <v>1</v>
      </c>
      <c r="DS1224">
        <v>1</v>
      </c>
      <c r="DT1224">
        <v>1</v>
      </c>
    </row>
    <row r="1225" spans="1:172" x14ac:dyDescent="0.25">
      <c r="A1225" t="s">
        <v>516</v>
      </c>
      <c r="B1225" t="s">
        <v>269</v>
      </c>
      <c r="C1225" s="3">
        <v>33.299999999999997</v>
      </c>
      <c r="D1225" s="3">
        <v>126.18</v>
      </c>
      <c r="E1225" t="s">
        <v>12</v>
      </c>
      <c r="F1225" t="s">
        <v>20</v>
      </c>
      <c r="G1225" t="s">
        <v>106</v>
      </c>
      <c r="I1225" t="s">
        <v>15</v>
      </c>
      <c r="J1225" t="s">
        <v>15</v>
      </c>
      <c r="K1225" t="s">
        <v>15</v>
      </c>
      <c r="L1225" t="s">
        <v>520</v>
      </c>
      <c r="M1225" t="s">
        <v>934</v>
      </c>
      <c r="O1225">
        <v>24</v>
      </c>
      <c r="DU1225">
        <v>1</v>
      </c>
      <c r="DV1225">
        <v>1</v>
      </c>
      <c r="DW1225">
        <v>1</v>
      </c>
      <c r="DX1225">
        <v>1</v>
      </c>
      <c r="DY1225">
        <v>1</v>
      </c>
      <c r="DZ1225">
        <v>1</v>
      </c>
      <c r="EA1225">
        <v>1</v>
      </c>
      <c r="EB1225">
        <v>1</v>
      </c>
      <c r="EC1225">
        <v>1</v>
      </c>
      <c r="ED1225">
        <v>1</v>
      </c>
      <c r="EE1225">
        <v>1</v>
      </c>
      <c r="EF1225">
        <v>1</v>
      </c>
    </row>
    <row r="1226" spans="1:172" x14ac:dyDescent="0.25">
      <c r="A1226" t="s">
        <v>516</v>
      </c>
      <c r="B1226" t="s">
        <v>269</v>
      </c>
      <c r="C1226" s="3">
        <v>33.299999999999997</v>
      </c>
      <c r="D1226" s="3">
        <v>126.18</v>
      </c>
      <c r="E1226" t="s">
        <v>12</v>
      </c>
      <c r="F1226" t="s">
        <v>20</v>
      </c>
      <c r="G1226" t="s">
        <v>106</v>
      </c>
      <c r="I1226" t="s">
        <v>15</v>
      </c>
      <c r="J1226" t="s">
        <v>15</v>
      </c>
      <c r="K1226" t="s">
        <v>15</v>
      </c>
      <c r="L1226" t="s">
        <v>520</v>
      </c>
      <c r="M1226" t="s">
        <v>934</v>
      </c>
      <c r="O1226">
        <v>23.9</v>
      </c>
      <c r="EG1226">
        <v>1</v>
      </c>
      <c r="EH1226">
        <v>1</v>
      </c>
      <c r="EI1226">
        <v>1</v>
      </c>
      <c r="EJ1226">
        <v>1</v>
      </c>
      <c r="EK1226">
        <v>1</v>
      </c>
      <c r="EL1226">
        <v>1</v>
      </c>
      <c r="EM1226">
        <v>1</v>
      </c>
      <c r="EN1226">
        <v>1</v>
      </c>
      <c r="EO1226">
        <v>1</v>
      </c>
      <c r="EP1226">
        <v>1</v>
      </c>
      <c r="EQ1226">
        <v>1</v>
      </c>
      <c r="ER1226">
        <v>1</v>
      </c>
    </row>
    <row r="1227" spans="1:172" x14ac:dyDescent="0.25">
      <c r="A1227" t="s">
        <v>516</v>
      </c>
      <c r="B1227" t="s">
        <v>269</v>
      </c>
      <c r="C1227" s="3">
        <v>33.299999999999997</v>
      </c>
      <c r="D1227" s="3">
        <v>126.18</v>
      </c>
      <c r="E1227" t="s">
        <v>12</v>
      </c>
      <c r="F1227" t="s">
        <v>20</v>
      </c>
      <c r="G1227" t="s">
        <v>106</v>
      </c>
      <c r="I1227" t="s">
        <v>15</v>
      </c>
      <c r="J1227" t="s">
        <v>15</v>
      </c>
      <c r="K1227" t="s">
        <v>15</v>
      </c>
      <c r="L1227" t="s">
        <v>520</v>
      </c>
      <c r="M1227" t="s">
        <v>934</v>
      </c>
      <c r="O1227">
        <v>22.7</v>
      </c>
      <c r="ES1227">
        <v>1</v>
      </c>
      <c r="ET1227">
        <v>1</v>
      </c>
      <c r="EU1227">
        <v>1</v>
      </c>
      <c r="EV1227">
        <v>1</v>
      </c>
      <c r="EW1227">
        <v>1</v>
      </c>
      <c r="EX1227">
        <v>1</v>
      </c>
      <c r="EY1227">
        <v>1</v>
      </c>
      <c r="EZ1227">
        <v>1</v>
      </c>
      <c r="FA1227">
        <v>1</v>
      </c>
      <c r="FB1227">
        <v>1</v>
      </c>
      <c r="FC1227">
        <v>1</v>
      </c>
      <c r="FD1227">
        <v>1</v>
      </c>
    </row>
    <row r="1228" spans="1:172" x14ac:dyDescent="0.25">
      <c r="A1228" t="s">
        <v>516</v>
      </c>
      <c r="B1228" t="s">
        <v>269</v>
      </c>
      <c r="C1228" s="3">
        <v>33.299999999999997</v>
      </c>
      <c r="D1228" s="3">
        <v>126.18</v>
      </c>
      <c r="E1228" t="s">
        <v>12</v>
      </c>
      <c r="F1228" t="s">
        <v>20</v>
      </c>
      <c r="G1228" t="s">
        <v>106</v>
      </c>
      <c r="I1228" t="s">
        <v>15</v>
      </c>
      <c r="J1228" t="s">
        <v>15</v>
      </c>
      <c r="K1228" t="s">
        <v>15</v>
      </c>
      <c r="L1228" t="s">
        <v>520</v>
      </c>
      <c r="M1228" t="s">
        <v>934</v>
      </c>
      <c r="O1228">
        <v>18.899999999999999</v>
      </c>
      <c r="FE1228">
        <v>1</v>
      </c>
      <c r="FF1228">
        <v>1</v>
      </c>
      <c r="FG1228">
        <v>1</v>
      </c>
      <c r="FH1228">
        <v>1</v>
      </c>
      <c r="FI1228">
        <v>1</v>
      </c>
      <c r="FJ1228">
        <v>1</v>
      </c>
      <c r="FK1228">
        <v>1</v>
      </c>
      <c r="FL1228">
        <v>1</v>
      </c>
      <c r="FM1228">
        <v>1</v>
      </c>
      <c r="FN1228">
        <v>1</v>
      </c>
      <c r="FO1228">
        <v>1</v>
      </c>
      <c r="FP1228">
        <v>1</v>
      </c>
    </row>
    <row r="1229" spans="1:172" x14ac:dyDescent="0.25">
      <c r="A1229" t="s">
        <v>516</v>
      </c>
      <c r="B1229" t="s">
        <v>269</v>
      </c>
      <c r="C1229" s="3">
        <v>33.299999999999997</v>
      </c>
      <c r="D1229" s="3">
        <v>126.18</v>
      </c>
      <c r="E1229" t="s">
        <v>12</v>
      </c>
      <c r="F1229" t="s">
        <v>20</v>
      </c>
      <c r="G1229" t="s">
        <v>106</v>
      </c>
      <c r="I1229" t="s">
        <v>15</v>
      </c>
      <c r="J1229" t="s">
        <v>15</v>
      </c>
      <c r="K1229" t="s">
        <v>15</v>
      </c>
      <c r="L1229" t="s">
        <v>515</v>
      </c>
      <c r="M1229" t="s">
        <v>936</v>
      </c>
      <c r="O1229">
        <v>27.2</v>
      </c>
      <c r="CU1229">
        <v>0.5</v>
      </c>
    </row>
    <row r="1230" spans="1:172" x14ac:dyDescent="0.25">
      <c r="A1230" t="s">
        <v>516</v>
      </c>
      <c r="B1230" t="s">
        <v>269</v>
      </c>
      <c r="C1230" s="3">
        <v>33.299999999999997</v>
      </c>
      <c r="D1230" s="3">
        <v>126.18</v>
      </c>
      <c r="E1230" t="s">
        <v>12</v>
      </c>
      <c r="F1230" t="s">
        <v>20</v>
      </c>
      <c r="G1230" t="s">
        <v>106</v>
      </c>
      <c r="I1230" t="s">
        <v>15</v>
      </c>
      <c r="J1230" t="s">
        <v>15</v>
      </c>
      <c r="K1230" t="s">
        <v>15</v>
      </c>
      <c r="L1230" t="s">
        <v>515</v>
      </c>
      <c r="M1230" t="s">
        <v>936</v>
      </c>
      <c r="O1230">
        <v>33.299999999999997</v>
      </c>
      <c r="CZ1230">
        <v>0.5</v>
      </c>
    </row>
    <row r="1231" spans="1:172" x14ac:dyDescent="0.25">
      <c r="A1231" t="s">
        <v>516</v>
      </c>
      <c r="B1231" t="s">
        <v>269</v>
      </c>
      <c r="C1231" s="3">
        <v>33.299999999999997</v>
      </c>
      <c r="D1231" s="3">
        <v>126.18</v>
      </c>
      <c r="E1231" t="s">
        <v>12</v>
      </c>
      <c r="F1231" t="s">
        <v>20</v>
      </c>
      <c r="G1231" t="s">
        <v>106</v>
      </c>
      <c r="I1231" t="s">
        <v>15</v>
      </c>
      <c r="J1231" t="s">
        <v>15</v>
      </c>
      <c r="K1231" t="s">
        <v>15</v>
      </c>
      <c r="L1231" t="s">
        <v>515</v>
      </c>
      <c r="M1231" t="s">
        <v>936</v>
      </c>
      <c r="O1231">
        <v>27.5</v>
      </c>
      <c r="DD1231">
        <v>0.5</v>
      </c>
    </row>
    <row r="1232" spans="1:172" x14ac:dyDescent="0.25">
      <c r="A1232" t="s">
        <v>516</v>
      </c>
      <c r="B1232" t="s">
        <v>269</v>
      </c>
      <c r="C1232" s="3">
        <v>33.299999999999997</v>
      </c>
      <c r="D1232" s="3">
        <v>126.18</v>
      </c>
      <c r="E1232" t="s">
        <v>12</v>
      </c>
      <c r="F1232" t="s">
        <v>20</v>
      </c>
      <c r="G1232" t="s">
        <v>106</v>
      </c>
      <c r="I1232" t="s">
        <v>15</v>
      </c>
      <c r="J1232" t="s">
        <v>15</v>
      </c>
      <c r="K1232" t="s">
        <v>15</v>
      </c>
      <c r="L1232" t="s">
        <v>515</v>
      </c>
      <c r="M1232" t="s">
        <v>936</v>
      </c>
      <c r="O1232">
        <v>42</v>
      </c>
      <c r="DJ1232">
        <v>0.5</v>
      </c>
    </row>
    <row r="1233" spans="1:120" x14ac:dyDescent="0.25">
      <c r="A1233" t="s">
        <v>516</v>
      </c>
      <c r="B1233" t="s">
        <v>269</v>
      </c>
      <c r="C1233" s="3">
        <v>33.299999999999997</v>
      </c>
      <c r="D1233" s="3">
        <v>126.18</v>
      </c>
      <c r="E1233" t="s">
        <v>12</v>
      </c>
      <c r="F1233" t="s">
        <v>20</v>
      </c>
      <c r="G1233" t="s">
        <v>106</v>
      </c>
      <c r="I1233" t="s">
        <v>15</v>
      </c>
      <c r="J1233" t="s">
        <v>15</v>
      </c>
      <c r="K1233" t="s">
        <v>15</v>
      </c>
      <c r="L1233" t="s">
        <v>515</v>
      </c>
      <c r="M1233" t="s">
        <v>936</v>
      </c>
      <c r="O1233">
        <v>31.1</v>
      </c>
      <c r="DN1233">
        <v>0.5</v>
      </c>
    </row>
    <row r="1234" spans="1:120" x14ac:dyDescent="0.25">
      <c r="A1234" t="s">
        <v>516</v>
      </c>
      <c r="B1234" t="s">
        <v>269</v>
      </c>
      <c r="C1234" s="3">
        <v>33.299999999999997</v>
      </c>
      <c r="D1234" s="3">
        <v>126.18</v>
      </c>
      <c r="E1234" t="s">
        <v>12</v>
      </c>
      <c r="F1234" t="s">
        <v>20</v>
      </c>
      <c r="G1234" t="s">
        <v>106</v>
      </c>
      <c r="I1234" t="s">
        <v>15</v>
      </c>
      <c r="J1234" t="s">
        <v>15</v>
      </c>
      <c r="K1234" t="s">
        <v>15</v>
      </c>
      <c r="L1234" t="s">
        <v>515</v>
      </c>
      <c r="M1234" t="s">
        <v>936</v>
      </c>
      <c r="O1234">
        <v>10.9</v>
      </c>
      <c r="DP1234">
        <v>0.5</v>
      </c>
    </row>
    <row r="1235" spans="1:120" x14ac:dyDescent="0.25">
      <c r="A1235" t="s">
        <v>326</v>
      </c>
      <c r="B1235" t="s">
        <v>269</v>
      </c>
      <c r="C1235" s="3">
        <v>35.1</v>
      </c>
      <c r="D1235" s="3">
        <v>126.53</v>
      </c>
      <c r="E1235" t="s">
        <v>15</v>
      </c>
      <c r="F1235" t="s">
        <v>77</v>
      </c>
      <c r="G1235" t="s">
        <v>106</v>
      </c>
      <c r="I1235" t="s">
        <v>12</v>
      </c>
      <c r="J1235" t="s">
        <v>12</v>
      </c>
      <c r="K1235" t="s">
        <v>12</v>
      </c>
      <c r="L1235" t="s">
        <v>578</v>
      </c>
      <c r="M1235" t="s">
        <v>894</v>
      </c>
      <c r="O1235">
        <v>17.100000000000001</v>
      </c>
      <c r="P1235">
        <v>4.2</v>
      </c>
      <c r="DC1235">
        <v>0.5</v>
      </c>
    </row>
    <row r="1236" spans="1:120" x14ac:dyDescent="0.25">
      <c r="A1236" t="s">
        <v>326</v>
      </c>
      <c r="B1236" t="s">
        <v>269</v>
      </c>
      <c r="C1236" s="3">
        <v>35.11</v>
      </c>
      <c r="D1236" s="3">
        <v>126.54</v>
      </c>
      <c r="E1236" t="s">
        <v>15</v>
      </c>
      <c r="F1236" t="s">
        <v>77</v>
      </c>
      <c r="G1236" t="s">
        <v>106</v>
      </c>
      <c r="I1236" t="s">
        <v>15</v>
      </c>
      <c r="J1236" t="s">
        <v>15</v>
      </c>
      <c r="K1236" t="s">
        <v>15</v>
      </c>
      <c r="L1236" t="s">
        <v>480</v>
      </c>
      <c r="M1236" t="s">
        <v>957</v>
      </c>
      <c r="O1236">
        <v>23.5</v>
      </c>
      <c r="CM1236">
        <v>1</v>
      </c>
    </row>
    <row r="1237" spans="1:120" x14ac:dyDescent="0.25">
      <c r="A1237" t="s">
        <v>326</v>
      </c>
      <c r="B1237" t="s">
        <v>269</v>
      </c>
      <c r="C1237" s="3">
        <v>35.11</v>
      </c>
      <c r="D1237" s="3">
        <v>126.54</v>
      </c>
      <c r="E1237" t="s">
        <v>15</v>
      </c>
      <c r="F1237" t="s">
        <v>77</v>
      </c>
      <c r="G1237" t="s">
        <v>106</v>
      </c>
      <c r="I1237" t="s">
        <v>15</v>
      </c>
      <c r="J1237" t="s">
        <v>15</v>
      </c>
      <c r="K1237" t="s">
        <v>15</v>
      </c>
      <c r="L1237" t="s">
        <v>480</v>
      </c>
      <c r="M1237" t="s">
        <v>957</v>
      </c>
      <c r="O1237">
        <v>28.5</v>
      </c>
      <c r="CN1237">
        <v>1</v>
      </c>
    </row>
    <row r="1238" spans="1:120" x14ac:dyDescent="0.25">
      <c r="A1238" t="s">
        <v>326</v>
      </c>
      <c r="B1238" t="s">
        <v>269</v>
      </c>
      <c r="C1238" s="3">
        <v>35.11</v>
      </c>
      <c r="D1238" s="3">
        <v>126.54</v>
      </c>
      <c r="E1238" t="s">
        <v>15</v>
      </c>
      <c r="F1238" t="s">
        <v>77</v>
      </c>
      <c r="G1238" t="s">
        <v>106</v>
      </c>
      <c r="I1238" t="s">
        <v>15</v>
      </c>
      <c r="J1238" t="s">
        <v>15</v>
      </c>
      <c r="K1238" t="s">
        <v>15</v>
      </c>
      <c r="L1238" t="s">
        <v>480</v>
      </c>
      <c r="M1238" t="s">
        <v>957</v>
      </c>
      <c r="O1238">
        <v>19.5</v>
      </c>
      <c r="CO1238">
        <v>1</v>
      </c>
    </row>
    <row r="1239" spans="1:120" x14ac:dyDescent="0.25">
      <c r="A1239" t="s">
        <v>326</v>
      </c>
      <c r="B1239" t="s">
        <v>269</v>
      </c>
      <c r="C1239" s="3">
        <v>35.11</v>
      </c>
      <c r="D1239" s="3">
        <v>126.54</v>
      </c>
      <c r="E1239" t="s">
        <v>15</v>
      </c>
      <c r="F1239" t="s">
        <v>77</v>
      </c>
      <c r="G1239" t="s">
        <v>106</v>
      </c>
      <c r="I1239" t="s">
        <v>15</v>
      </c>
      <c r="J1239" t="s">
        <v>15</v>
      </c>
      <c r="K1239" t="s">
        <v>15</v>
      </c>
      <c r="L1239" t="s">
        <v>480</v>
      </c>
      <c r="M1239" t="s">
        <v>957</v>
      </c>
      <c r="O1239">
        <v>32</v>
      </c>
      <c r="CP1239">
        <v>1</v>
      </c>
    </row>
    <row r="1240" spans="1:120" x14ac:dyDescent="0.25">
      <c r="A1240" t="s">
        <v>326</v>
      </c>
      <c r="B1240" t="s">
        <v>269</v>
      </c>
      <c r="C1240" s="3">
        <v>35.11</v>
      </c>
      <c r="D1240" s="3">
        <v>126.54</v>
      </c>
      <c r="E1240" t="s">
        <v>15</v>
      </c>
      <c r="F1240" t="s">
        <v>77</v>
      </c>
      <c r="G1240" t="s">
        <v>106</v>
      </c>
      <c r="I1240" t="s">
        <v>15</v>
      </c>
      <c r="J1240" t="s">
        <v>15</v>
      </c>
      <c r="K1240" t="s">
        <v>15</v>
      </c>
      <c r="L1240" t="s">
        <v>480</v>
      </c>
      <c r="M1240" t="s">
        <v>957</v>
      </c>
      <c r="O1240">
        <v>9</v>
      </c>
      <c r="CQ1240">
        <v>1</v>
      </c>
    </row>
    <row r="1241" spans="1:120" x14ac:dyDescent="0.25">
      <c r="A1241" t="s">
        <v>326</v>
      </c>
      <c r="B1241" t="s">
        <v>269</v>
      </c>
      <c r="C1241" s="3">
        <v>35.11</v>
      </c>
      <c r="D1241" s="3">
        <v>126.54</v>
      </c>
      <c r="E1241" t="s">
        <v>15</v>
      </c>
      <c r="F1241" t="s">
        <v>77</v>
      </c>
      <c r="G1241" t="s">
        <v>106</v>
      </c>
      <c r="I1241" t="s">
        <v>15</v>
      </c>
      <c r="J1241" t="s">
        <v>15</v>
      </c>
      <c r="K1241" t="s">
        <v>15</v>
      </c>
      <c r="L1241" t="s">
        <v>480</v>
      </c>
      <c r="M1241" t="s">
        <v>957</v>
      </c>
      <c r="O1241">
        <v>9.5</v>
      </c>
      <c r="CR1241">
        <v>1</v>
      </c>
    </row>
    <row r="1242" spans="1:120" x14ac:dyDescent="0.25">
      <c r="A1242" t="s">
        <v>326</v>
      </c>
      <c r="B1242" t="s">
        <v>269</v>
      </c>
      <c r="C1242" s="3">
        <v>35.11</v>
      </c>
      <c r="D1242" s="3">
        <v>126.54</v>
      </c>
      <c r="E1242" t="s">
        <v>15</v>
      </c>
      <c r="F1242" t="s">
        <v>77</v>
      </c>
      <c r="G1242" t="s">
        <v>106</v>
      </c>
      <c r="I1242" t="s">
        <v>15</v>
      </c>
      <c r="J1242" t="s">
        <v>15</v>
      </c>
      <c r="K1242" t="s">
        <v>15</v>
      </c>
      <c r="L1242" t="s">
        <v>480</v>
      </c>
      <c r="M1242" t="s">
        <v>957</v>
      </c>
      <c r="O1242">
        <v>6.5</v>
      </c>
      <c r="CS1242">
        <v>1</v>
      </c>
    </row>
    <row r="1243" spans="1:120" x14ac:dyDescent="0.25">
      <c r="A1243" t="s">
        <v>326</v>
      </c>
      <c r="B1243" t="s">
        <v>269</v>
      </c>
      <c r="C1243" s="3">
        <v>35.11</v>
      </c>
      <c r="D1243" s="3">
        <v>126.54</v>
      </c>
      <c r="E1243" t="s">
        <v>15</v>
      </c>
      <c r="F1243" t="s">
        <v>77</v>
      </c>
      <c r="G1243" t="s">
        <v>106</v>
      </c>
      <c r="I1243" t="s">
        <v>15</v>
      </c>
      <c r="J1243" t="s">
        <v>15</v>
      </c>
      <c r="K1243" t="s">
        <v>15</v>
      </c>
      <c r="L1243" t="s">
        <v>480</v>
      </c>
      <c r="M1243" t="s">
        <v>957</v>
      </c>
      <c r="O1243">
        <v>24</v>
      </c>
      <c r="CT1243">
        <v>1</v>
      </c>
    </row>
    <row r="1244" spans="1:120" x14ac:dyDescent="0.25">
      <c r="A1244" t="s">
        <v>326</v>
      </c>
      <c r="B1244" t="s">
        <v>269</v>
      </c>
      <c r="C1244" s="3">
        <v>35.11</v>
      </c>
      <c r="D1244" s="3">
        <v>126.54</v>
      </c>
      <c r="E1244" t="s">
        <v>15</v>
      </c>
      <c r="F1244" t="s">
        <v>77</v>
      </c>
      <c r="G1244" t="s">
        <v>106</v>
      </c>
      <c r="I1244" t="s">
        <v>15</v>
      </c>
      <c r="J1244" t="s">
        <v>15</v>
      </c>
      <c r="K1244" t="s">
        <v>15</v>
      </c>
      <c r="L1244" t="s">
        <v>480</v>
      </c>
      <c r="M1244" t="s">
        <v>957</v>
      </c>
      <c r="O1244">
        <v>28.5</v>
      </c>
      <c r="CU1244">
        <v>1</v>
      </c>
    </row>
    <row r="1245" spans="1:120" x14ac:dyDescent="0.25">
      <c r="A1245" t="s">
        <v>326</v>
      </c>
      <c r="B1245" t="s">
        <v>269</v>
      </c>
      <c r="C1245" s="3">
        <v>35.11</v>
      </c>
      <c r="D1245" s="3">
        <v>126.54</v>
      </c>
      <c r="E1245" t="s">
        <v>15</v>
      </c>
      <c r="F1245" t="s">
        <v>77</v>
      </c>
      <c r="G1245" t="s">
        <v>106</v>
      </c>
      <c r="I1245" t="s">
        <v>15</v>
      </c>
      <c r="J1245" t="s">
        <v>15</v>
      </c>
      <c r="K1245" t="s">
        <v>15</v>
      </c>
      <c r="L1245" t="s">
        <v>480</v>
      </c>
      <c r="M1245" t="s">
        <v>957</v>
      </c>
      <c r="O1245">
        <v>19.5</v>
      </c>
      <c r="CV1245">
        <v>1</v>
      </c>
    </row>
    <row r="1246" spans="1:120" x14ac:dyDescent="0.25">
      <c r="A1246" t="s">
        <v>326</v>
      </c>
      <c r="B1246" t="s">
        <v>269</v>
      </c>
      <c r="C1246" s="3">
        <v>35.11</v>
      </c>
      <c r="D1246" s="3">
        <v>126.54</v>
      </c>
      <c r="E1246" t="s">
        <v>15</v>
      </c>
      <c r="F1246" t="s">
        <v>77</v>
      </c>
      <c r="G1246" t="s">
        <v>106</v>
      </c>
      <c r="I1246" t="s">
        <v>15</v>
      </c>
      <c r="J1246" t="s">
        <v>15</v>
      </c>
      <c r="K1246" t="s">
        <v>15</v>
      </c>
      <c r="L1246" t="s">
        <v>480</v>
      </c>
      <c r="M1246" t="s">
        <v>957</v>
      </c>
      <c r="O1246">
        <v>23</v>
      </c>
      <c r="CW1246">
        <v>1</v>
      </c>
    </row>
    <row r="1247" spans="1:120" x14ac:dyDescent="0.25">
      <c r="A1247" t="s">
        <v>326</v>
      </c>
      <c r="B1247" t="s">
        <v>269</v>
      </c>
      <c r="C1247" s="3">
        <v>35.11</v>
      </c>
      <c r="D1247" s="3">
        <v>126.54</v>
      </c>
      <c r="E1247" t="s">
        <v>15</v>
      </c>
      <c r="F1247" t="s">
        <v>77</v>
      </c>
      <c r="G1247" t="s">
        <v>106</v>
      </c>
      <c r="I1247" t="s">
        <v>15</v>
      </c>
      <c r="J1247" t="s">
        <v>15</v>
      </c>
      <c r="K1247" t="s">
        <v>15</v>
      </c>
      <c r="L1247" t="s">
        <v>480</v>
      </c>
      <c r="M1247" t="s">
        <v>957</v>
      </c>
      <c r="O1247">
        <v>31.5</v>
      </c>
      <c r="CX1247">
        <v>1</v>
      </c>
    </row>
    <row r="1248" spans="1:120" x14ac:dyDescent="0.25">
      <c r="A1248" t="s">
        <v>326</v>
      </c>
      <c r="B1248" t="s">
        <v>269</v>
      </c>
      <c r="C1248" s="3">
        <f>35+11/60</f>
        <v>35.18333333333333</v>
      </c>
      <c r="D1248" s="3">
        <f>126+54/60</f>
        <v>126.9</v>
      </c>
      <c r="E1248" t="s">
        <v>12</v>
      </c>
      <c r="F1248" t="s">
        <v>77</v>
      </c>
      <c r="G1248" t="s">
        <v>106</v>
      </c>
      <c r="I1248" t="s">
        <v>15</v>
      </c>
      <c r="J1248" t="s">
        <v>15</v>
      </c>
      <c r="K1248" t="s">
        <v>15</v>
      </c>
      <c r="L1248" t="s">
        <v>372</v>
      </c>
      <c r="M1248" t="s">
        <v>1012</v>
      </c>
      <c r="O1248">
        <v>39.17</v>
      </c>
      <c r="P1248">
        <v>18.54</v>
      </c>
      <c r="BW1248">
        <v>0.5</v>
      </c>
    </row>
    <row r="1249" spans="1:201" x14ac:dyDescent="0.25">
      <c r="A1249" t="s">
        <v>326</v>
      </c>
      <c r="B1249" t="s">
        <v>269</v>
      </c>
      <c r="C1249" s="3">
        <f>35+11/60</f>
        <v>35.18333333333333</v>
      </c>
      <c r="D1249" s="3">
        <f>126+54/60</f>
        <v>126.9</v>
      </c>
      <c r="E1249" t="s">
        <v>15</v>
      </c>
      <c r="F1249" t="s">
        <v>34</v>
      </c>
      <c r="G1249" t="s">
        <v>106</v>
      </c>
      <c r="I1249" t="s">
        <v>15</v>
      </c>
      <c r="J1249" t="s">
        <v>12</v>
      </c>
      <c r="K1249" t="s">
        <v>12</v>
      </c>
      <c r="L1249" t="s">
        <v>369</v>
      </c>
      <c r="M1249" t="s">
        <v>1013</v>
      </c>
      <c r="O1249">
        <f>(5*28.23+7*36.34+6*40.22+5*68.22+5*47.19)/27</f>
        <v>44.959259259259262</v>
      </c>
      <c r="CN1249">
        <v>1</v>
      </c>
      <c r="CO1249">
        <v>1</v>
      </c>
    </row>
    <row r="1250" spans="1:201" x14ac:dyDescent="0.25">
      <c r="A1250" t="s">
        <v>326</v>
      </c>
      <c r="B1250" t="s">
        <v>269</v>
      </c>
      <c r="C1250" s="3">
        <f>35+11/60</f>
        <v>35.18333333333333</v>
      </c>
      <c r="D1250" s="3">
        <f>126+54/60</f>
        <v>126.9</v>
      </c>
      <c r="E1250" t="s">
        <v>15</v>
      </c>
      <c r="F1250" t="s">
        <v>21</v>
      </c>
      <c r="G1250" t="s">
        <v>97</v>
      </c>
      <c r="I1250" t="s">
        <v>15</v>
      </c>
      <c r="J1250" t="s">
        <v>15</v>
      </c>
      <c r="K1250" t="s">
        <v>15</v>
      </c>
      <c r="L1250" t="s">
        <v>368</v>
      </c>
      <c r="M1250" t="s">
        <v>1014</v>
      </c>
      <c r="O1250">
        <v>25.06</v>
      </c>
      <c r="FV1250">
        <v>1</v>
      </c>
      <c r="FW1250">
        <v>1</v>
      </c>
      <c r="FX1250">
        <v>1</v>
      </c>
    </row>
    <row r="1251" spans="1:201" x14ac:dyDescent="0.25">
      <c r="A1251" t="s">
        <v>326</v>
      </c>
      <c r="B1251" t="s">
        <v>269</v>
      </c>
      <c r="C1251" s="3">
        <f>35+11/60</f>
        <v>35.18333333333333</v>
      </c>
      <c r="D1251" s="3">
        <f>126+54/60</f>
        <v>126.9</v>
      </c>
      <c r="E1251" t="s">
        <v>15</v>
      </c>
      <c r="F1251" t="s">
        <v>21</v>
      </c>
      <c r="G1251" t="s">
        <v>97</v>
      </c>
      <c r="I1251" t="s">
        <v>15</v>
      </c>
      <c r="J1251" t="s">
        <v>15</v>
      </c>
      <c r="K1251" t="s">
        <v>15</v>
      </c>
      <c r="L1251" t="s">
        <v>368</v>
      </c>
      <c r="M1251" t="s">
        <v>1014</v>
      </c>
      <c r="O1251">
        <v>37.200000000000003</v>
      </c>
      <c r="GB1251">
        <v>1</v>
      </c>
      <c r="GC1251">
        <v>1</v>
      </c>
      <c r="GD1251">
        <v>1</v>
      </c>
    </row>
    <row r="1252" spans="1:201" x14ac:dyDescent="0.25">
      <c r="A1252" t="s">
        <v>326</v>
      </c>
      <c r="B1252" t="s">
        <v>269</v>
      </c>
      <c r="C1252" s="3">
        <f>35+11/60</f>
        <v>35.18333333333333</v>
      </c>
      <c r="D1252" s="3">
        <f>126+54/60</f>
        <v>126.9</v>
      </c>
      <c r="E1252" t="s">
        <v>15</v>
      </c>
      <c r="F1252" t="s">
        <v>77</v>
      </c>
      <c r="G1252" t="s">
        <v>97</v>
      </c>
      <c r="I1252" t="s">
        <v>15</v>
      </c>
      <c r="J1252" t="s">
        <v>15</v>
      </c>
      <c r="K1252" t="s">
        <v>15</v>
      </c>
      <c r="L1252" t="s">
        <v>364</v>
      </c>
      <c r="M1252" t="s">
        <v>1017</v>
      </c>
      <c r="O1252">
        <f>(23*38.3+5*68.1+2*70.8)/30</f>
        <v>45.43333333333333</v>
      </c>
      <c r="CM1252">
        <v>0.25</v>
      </c>
      <c r="CN1252">
        <v>1</v>
      </c>
      <c r="CO1252">
        <v>0.25</v>
      </c>
    </row>
    <row r="1253" spans="1:201" x14ac:dyDescent="0.25">
      <c r="A1253" t="s">
        <v>326</v>
      </c>
      <c r="B1253" t="s">
        <v>269</v>
      </c>
      <c r="C1253" s="3">
        <v>35.1</v>
      </c>
      <c r="D1253" s="3">
        <v>126.53</v>
      </c>
      <c r="E1253" t="s">
        <v>12</v>
      </c>
      <c r="F1253" t="s">
        <v>77</v>
      </c>
      <c r="G1253" t="s">
        <v>97</v>
      </c>
      <c r="I1253" t="s">
        <v>15</v>
      </c>
      <c r="J1253" t="s">
        <v>12</v>
      </c>
      <c r="K1253" t="s">
        <v>15</v>
      </c>
      <c r="L1253" t="s">
        <v>328</v>
      </c>
      <c r="M1253" t="s">
        <v>1033</v>
      </c>
      <c r="N1253" t="s">
        <v>327</v>
      </c>
      <c r="O1253">
        <v>48.7</v>
      </c>
      <c r="P1253">
        <v>19.5</v>
      </c>
      <c r="DN1253">
        <v>1</v>
      </c>
    </row>
    <row r="1254" spans="1:201" x14ac:dyDescent="0.25">
      <c r="A1254" t="s">
        <v>517</v>
      </c>
      <c r="B1254" t="s">
        <v>269</v>
      </c>
      <c r="C1254" s="3">
        <v>37.28</v>
      </c>
      <c r="D1254" s="3">
        <v>126.39</v>
      </c>
      <c r="E1254" t="s">
        <v>15</v>
      </c>
      <c r="F1254" t="s">
        <v>22</v>
      </c>
      <c r="G1254" t="s">
        <v>734</v>
      </c>
      <c r="I1254" t="s">
        <v>15</v>
      </c>
      <c r="J1254" t="s">
        <v>15</v>
      </c>
      <c r="K1254" t="s">
        <v>12</v>
      </c>
      <c r="L1254" t="s">
        <v>775</v>
      </c>
      <c r="M1254" t="s">
        <v>833</v>
      </c>
      <c r="O1254">
        <v>41.9</v>
      </c>
      <c r="P1254">
        <v>9</v>
      </c>
      <c r="GH1254">
        <v>1</v>
      </c>
      <c r="GI1254">
        <v>1</v>
      </c>
      <c r="GJ1254">
        <v>1</v>
      </c>
      <c r="GK1254">
        <v>1</v>
      </c>
      <c r="GL1254">
        <v>1</v>
      </c>
      <c r="GM1254">
        <v>1</v>
      </c>
      <c r="GN1254">
        <v>1</v>
      </c>
      <c r="GO1254">
        <v>1</v>
      </c>
      <c r="GP1254">
        <v>1</v>
      </c>
      <c r="GQ1254">
        <v>1</v>
      </c>
      <c r="GR1254">
        <v>1</v>
      </c>
      <c r="GS1254">
        <v>1</v>
      </c>
    </row>
    <row r="1255" spans="1:201" x14ac:dyDescent="0.25">
      <c r="A1255" t="s">
        <v>517</v>
      </c>
      <c r="B1255" t="s">
        <v>269</v>
      </c>
      <c r="C1255" s="3">
        <v>37.4</v>
      </c>
      <c r="D1255" s="3">
        <v>126.6</v>
      </c>
      <c r="E1255" t="s">
        <v>15</v>
      </c>
      <c r="F1255" t="s">
        <v>77</v>
      </c>
      <c r="G1255" t="s">
        <v>106</v>
      </c>
      <c r="I1255" t="s">
        <v>12</v>
      </c>
      <c r="J1255" t="s">
        <v>12</v>
      </c>
      <c r="K1255" t="s">
        <v>12</v>
      </c>
      <c r="L1255" t="s">
        <v>524</v>
      </c>
      <c r="M1255" t="s">
        <v>931</v>
      </c>
      <c r="O1255">
        <v>47.9</v>
      </c>
      <c r="DD1255">
        <v>1</v>
      </c>
      <c r="DE1255">
        <v>1</v>
      </c>
      <c r="DF1255">
        <v>1</v>
      </c>
      <c r="DG1255">
        <v>1</v>
      </c>
      <c r="DH1255">
        <v>1</v>
      </c>
      <c r="DI1255">
        <v>1</v>
      </c>
      <c r="DJ1255">
        <v>1</v>
      </c>
      <c r="DK1255">
        <v>1</v>
      </c>
      <c r="DL1255">
        <v>1</v>
      </c>
      <c r="DM1255">
        <v>1</v>
      </c>
      <c r="DN1255">
        <v>1</v>
      </c>
      <c r="DO1255">
        <v>1</v>
      </c>
      <c r="DP1255">
        <v>1</v>
      </c>
      <c r="DQ1255">
        <v>1</v>
      </c>
      <c r="DR1255">
        <v>1</v>
      </c>
      <c r="DS1255">
        <v>1</v>
      </c>
      <c r="DT1255">
        <v>1</v>
      </c>
      <c r="DU1255">
        <v>1</v>
      </c>
      <c r="DV1255">
        <v>1</v>
      </c>
      <c r="DW1255">
        <v>1</v>
      </c>
      <c r="DX1255">
        <v>1</v>
      </c>
      <c r="DY1255">
        <v>1</v>
      </c>
      <c r="DZ1255">
        <v>1</v>
      </c>
      <c r="EA1255">
        <v>1</v>
      </c>
    </row>
    <row r="1256" spans="1:201" x14ac:dyDescent="0.25">
      <c r="A1256" t="s">
        <v>472</v>
      </c>
      <c r="B1256" t="s">
        <v>269</v>
      </c>
      <c r="C1256" s="3">
        <v>33.17</v>
      </c>
      <c r="D1256" s="3">
        <v>126.1</v>
      </c>
      <c r="E1256" t="s">
        <v>15</v>
      </c>
      <c r="F1256" t="s">
        <v>20</v>
      </c>
      <c r="G1256" t="s">
        <v>97</v>
      </c>
      <c r="I1256" t="s">
        <v>15</v>
      </c>
      <c r="J1256" t="s">
        <v>15</v>
      </c>
      <c r="K1256" t="s">
        <v>12</v>
      </c>
      <c r="L1256" t="s">
        <v>471</v>
      </c>
      <c r="M1256" t="s">
        <v>967</v>
      </c>
      <c r="O1256">
        <v>20</v>
      </c>
      <c r="FS1256">
        <v>1</v>
      </c>
      <c r="FT1256">
        <v>1</v>
      </c>
      <c r="FU1256">
        <v>1</v>
      </c>
    </row>
    <row r="1257" spans="1:201" x14ac:dyDescent="0.25">
      <c r="A1257" t="s">
        <v>472</v>
      </c>
      <c r="B1257" t="s">
        <v>269</v>
      </c>
      <c r="C1257" s="3">
        <v>33.17</v>
      </c>
      <c r="D1257" s="3">
        <v>126.1</v>
      </c>
      <c r="E1257" t="s">
        <v>15</v>
      </c>
      <c r="F1257" t="s">
        <v>20</v>
      </c>
      <c r="G1257" t="s">
        <v>97</v>
      </c>
      <c r="I1257" t="s">
        <v>15</v>
      </c>
      <c r="J1257" t="s">
        <v>15</v>
      </c>
      <c r="K1257" t="s">
        <v>12</v>
      </c>
      <c r="L1257" t="s">
        <v>471</v>
      </c>
      <c r="M1257" t="s">
        <v>967</v>
      </c>
      <c r="O1257">
        <v>14.5</v>
      </c>
      <c r="FV1257">
        <v>1</v>
      </c>
      <c r="FW1257">
        <v>1</v>
      </c>
      <c r="FX1257">
        <v>1</v>
      </c>
    </row>
    <row r="1258" spans="1:201" x14ac:dyDescent="0.25">
      <c r="A1258" t="s">
        <v>472</v>
      </c>
      <c r="B1258" t="s">
        <v>269</v>
      </c>
      <c r="C1258" s="3">
        <v>33.17</v>
      </c>
      <c r="D1258" s="3">
        <v>126.1</v>
      </c>
      <c r="E1258" t="s">
        <v>15</v>
      </c>
      <c r="F1258" t="s">
        <v>20</v>
      </c>
      <c r="G1258" t="s">
        <v>97</v>
      </c>
      <c r="I1258" t="s">
        <v>15</v>
      </c>
      <c r="J1258" t="s">
        <v>15</v>
      </c>
      <c r="K1258" t="s">
        <v>12</v>
      </c>
      <c r="L1258" t="s">
        <v>471</v>
      </c>
      <c r="M1258" t="s">
        <v>967</v>
      </c>
      <c r="O1258">
        <v>13.5</v>
      </c>
      <c r="FN1258">
        <v>1</v>
      </c>
      <c r="FO1258">
        <v>1</v>
      </c>
      <c r="FY1258">
        <v>1</v>
      </c>
    </row>
    <row r="1259" spans="1:201" x14ac:dyDescent="0.25">
      <c r="A1259" t="s">
        <v>472</v>
      </c>
      <c r="B1259" t="s">
        <v>269</v>
      </c>
      <c r="C1259" s="3">
        <v>33.17</v>
      </c>
      <c r="D1259" s="3">
        <v>126.1</v>
      </c>
      <c r="E1259" t="s">
        <v>15</v>
      </c>
      <c r="F1259" t="s">
        <v>20</v>
      </c>
      <c r="G1259" t="s">
        <v>97</v>
      </c>
      <c r="I1259" t="s">
        <v>15</v>
      </c>
      <c r="J1259" t="s">
        <v>15</v>
      </c>
      <c r="K1259" t="s">
        <v>12</v>
      </c>
      <c r="L1259" t="s">
        <v>471</v>
      </c>
      <c r="M1259" t="s">
        <v>967</v>
      </c>
      <c r="O1259">
        <v>21</v>
      </c>
      <c r="FP1259">
        <v>1</v>
      </c>
      <c r="FQ1259">
        <v>1</v>
      </c>
      <c r="FR1259">
        <v>1</v>
      </c>
    </row>
    <row r="1260" spans="1:201" x14ac:dyDescent="0.25">
      <c r="A1260" t="s">
        <v>488</v>
      </c>
      <c r="B1260" t="s">
        <v>269</v>
      </c>
      <c r="C1260" s="3">
        <f>37+37/60</f>
        <v>37.616666666666667</v>
      </c>
      <c r="D1260" s="3">
        <f>126+22/60</f>
        <v>126.36666666666666</v>
      </c>
      <c r="E1260" t="s">
        <v>15</v>
      </c>
      <c r="F1260" t="s">
        <v>20</v>
      </c>
      <c r="G1260" t="s">
        <v>106</v>
      </c>
      <c r="H1260">
        <v>40</v>
      </c>
      <c r="I1260" t="s">
        <v>15</v>
      </c>
      <c r="J1260" t="s">
        <v>15</v>
      </c>
      <c r="K1260" t="s">
        <v>12</v>
      </c>
      <c r="L1260" t="s">
        <v>486</v>
      </c>
      <c r="M1260" t="s">
        <v>954</v>
      </c>
      <c r="O1260">
        <v>25.7</v>
      </c>
      <c r="P1260">
        <v>2.54</v>
      </c>
      <c r="AE1260">
        <v>1</v>
      </c>
    </row>
    <row r="1261" spans="1:201" x14ac:dyDescent="0.25">
      <c r="A1261" t="s">
        <v>488</v>
      </c>
      <c r="B1261" t="s">
        <v>269</v>
      </c>
      <c r="C1261" s="3">
        <f>37+37/60</f>
        <v>37.616666666666667</v>
      </c>
      <c r="D1261" s="3">
        <f>126+22/60</f>
        <v>126.36666666666666</v>
      </c>
      <c r="E1261" t="s">
        <v>15</v>
      </c>
      <c r="F1261" t="s">
        <v>20</v>
      </c>
      <c r="G1261" t="s">
        <v>106</v>
      </c>
      <c r="H1261">
        <v>40</v>
      </c>
      <c r="I1261" t="s">
        <v>15</v>
      </c>
      <c r="J1261" t="s">
        <v>15</v>
      </c>
      <c r="K1261" t="s">
        <v>12</v>
      </c>
      <c r="L1261" t="s">
        <v>486</v>
      </c>
      <c r="M1261" t="s">
        <v>954</v>
      </c>
      <c r="O1261">
        <v>51.7</v>
      </c>
      <c r="P1261">
        <v>9.08</v>
      </c>
      <c r="AN1261">
        <v>1</v>
      </c>
    </row>
    <row r="1262" spans="1:201" x14ac:dyDescent="0.25">
      <c r="A1262" t="s">
        <v>488</v>
      </c>
      <c r="B1262" t="s">
        <v>269</v>
      </c>
      <c r="C1262" s="3">
        <f>37+37/60</f>
        <v>37.616666666666667</v>
      </c>
      <c r="D1262" s="3">
        <f>126+22/60</f>
        <v>126.36666666666666</v>
      </c>
      <c r="E1262" t="s">
        <v>15</v>
      </c>
      <c r="F1262" t="s">
        <v>20</v>
      </c>
      <c r="G1262" t="s">
        <v>106</v>
      </c>
      <c r="H1262">
        <v>40</v>
      </c>
      <c r="I1262" t="s">
        <v>15</v>
      </c>
      <c r="J1262" t="s">
        <v>15</v>
      </c>
      <c r="K1262" t="s">
        <v>12</v>
      </c>
      <c r="L1262" t="s">
        <v>486</v>
      </c>
      <c r="M1262" t="s">
        <v>954</v>
      </c>
      <c r="O1262">
        <v>26.5</v>
      </c>
      <c r="P1262">
        <v>5.04</v>
      </c>
      <c r="AO1262">
        <v>1</v>
      </c>
    </row>
    <row r="1263" spans="1:201" x14ac:dyDescent="0.25">
      <c r="A1263" t="s">
        <v>488</v>
      </c>
      <c r="B1263" t="s">
        <v>269</v>
      </c>
      <c r="C1263" s="3">
        <f>37+37/60</f>
        <v>37.616666666666667</v>
      </c>
      <c r="D1263" s="3">
        <f>126+22/60</f>
        <v>126.36666666666666</v>
      </c>
      <c r="E1263" t="s">
        <v>15</v>
      </c>
      <c r="F1263" t="s">
        <v>20</v>
      </c>
      <c r="G1263" t="s">
        <v>106</v>
      </c>
      <c r="H1263">
        <v>40</v>
      </c>
      <c r="I1263" t="s">
        <v>15</v>
      </c>
      <c r="J1263" t="s">
        <v>15</v>
      </c>
      <c r="K1263" t="s">
        <v>12</v>
      </c>
      <c r="L1263" t="s">
        <v>486</v>
      </c>
      <c r="M1263" t="s">
        <v>954</v>
      </c>
      <c r="O1263">
        <v>21.2</v>
      </c>
      <c r="P1263">
        <v>3.68</v>
      </c>
      <c r="AW1263">
        <v>1</v>
      </c>
    </row>
    <row r="1264" spans="1:201" x14ac:dyDescent="0.25">
      <c r="A1264" t="s">
        <v>488</v>
      </c>
      <c r="B1264" t="s">
        <v>269</v>
      </c>
      <c r="C1264" s="3">
        <f>37+37/60</f>
        <v>37.616666666666667</v>
      </c>
      <c r="D1264" s="3">
        <f>126+22/60</f>
        <v>126.36666666666666</v>
      </c>
      <c r="E1264" t="s">
        <v>15</v>
      </c>
      <c r="F1264" t="s">
        <v>20</v>
      </c>
      <c r="G1264" t="s">
        <v>106</v>
      </c>
      <c r="H1264">
        <v>40</v>
      </c>
      <c r="I1264" t="s">
        <v>15</v>
      </c>
      <c r="J1264" t="s">
        <v>15</v>
      </c>
      <c r="K1264" t="s">
        <v>12</v>
      </c>
      <c r="L1264" t="s">
        <v>486</v>
      </c>
      <c r="M1264" t="s">
        <v>954</v>
      </c>
      <c r="O1264">
        <v>30.4</v>
      </c>
      <c r="P1264">
        <v>2.99</v>
      </c>
      <c r="AZ1264">
        <v>1</v>
      </c>
    </row>
    <row r="1265" spans="1:168" x14ac:dyDescent="0.25">
      <c r="A1265" t="s">
        <v>487</v>
      </c>
      <c r="B1265" t="s">
        <v>269</v>
      </c>
      <c r="C1265" s="3">
        <f>33+17/60</f>
        <v>33.283333333333331</v>
      </c>
      <c r="D1265" s="3">
        <f>126+10/60</f>
        <v>126.16666666666667</v>
      </c>
      <c r="E1265" t="s">
        <v>15</v>
      </c>
      <c r="F1265" t="s">
        <v>20</v>
      </c>
      <c r="G1265" t="s">
        <v>106</v>
      </c>
      <c r="H1265">
        <v>40</v>
      </c>
      <c r="I1265" t="s">
        <v>15</v>
      </c>
      <c r="J1265" t="s">
        <v>15</v>
      </c>
      <c r="K1265" t="s">
        <v>12</v>
      </c>
      <c r="L1265" t="s">
        <v>486</v>
      </c>
      <c r="M1265" t="s">
        <v>954</v>
      </c>
      <c r="O1265">
        <v>18.3</v>
      </c>
      <c r="P1265">
        <v>3.64</v>
      </c>
      <c r="AE1265">
        <v>1</v>
      </c>
    </row>
    <row r="1266" spans="1:168" x14ac:dyDescent="0.25">
      <c r="A1266" t="s">
        <v>487</v>
      </c>
      <c r="B1266" t="s">
        <v>269</v>
      </c>
      <c r="C1266" s="3">
        <f>33+17/60</f>
        <v>33.283333333333331</v>
      </c>
      <c r="D1266" s="3">
        <f>126+10/60</f>
        <v>126.16666666666667</v>
      </c>
      <c r="E1266" t="s">
        <v>15</v>
      </c>
      <c r="F1266" t="s">
        <v>20</v>
      </c>
      <c r="G1266" t="s">
        <v>106</v>
      </c>
      <c r="H1266">
        <v>40</v>
      </c>
      <c r="I1266" t="s">
        <v>15</v>
      </c>
      <c r="J1266" t="s">
        <v>15</v>
      </c>
      <c r="K1266" t="s">
        <v>12</v>
      </c>
      <c r="L1266" t="s">
        <v>486</v>
      </c>
      <c r="M1266" t="s">
        <v>954</v>
      </c>
      <c r="O1266">
        <v>23.2</v>
      </c>
      <c r="P1266">
        <v>5.96</v>
      </c>
      <c r="AN1266">
        <v>1</v>
      </c>
    </row>
    <row r="1267" spans="1:168" x14ac:dyDescent="0.25">
      <c r="A1267" t="s">
        <v>487</v>
      </c>
      <c r="B1267" t="s">
        <v>269</v>
      </c>
      <c r="C1267" s="3">
        <f>33+17/60</f>
        <v>33.283333333333331</v>
      </c>
      <c r="D1267" s="3">
        <f>126+10/60</f>
        <v>126.16666666666667</v>
      </c>
      <c r="E1267" t="s">
        <v>15</v>
      </c>
      <c r="F1267" t="s">
        <v>20</v>
      </c>
      <c r="G1267" t="s">
        <v>106</v>
      </c>
      <c r="H1267">
        <v>40</v>
      </c>
      <c r="I1267" t="s">
        <v>15</v>
      </c>
      <c r="J1267" t="s">
        <v>15</v>
      </c>
      <c r="K1267" t="s">
        <v>12</v>
      </c>
      <c r="L1267" t="s">
        <v>486</v>
      </c>
      <c r="M1267" t="s">
        <v>954</v>
      </c>
      <c r="O1267">
        <v>15.5</v>
      </c>
      <c r="P1267">
        <v>2.74</v>
      </c>
      <c r="AO1267">
        <v>1</v>
      </c>
    </row>
    <row r="1268" spans="1:168" x14ac:dyDescent="0.25">
      <c r="A1268" t="s">
        <v>487</v>
      </c>
      <c r="B1268" t="s">
        <v>269</v>
      </c>
      <c r="C1268" s="3">
        <f>33+17/60</f>
        <v>33.283333333333331</v>
      </c>
      <c r="D1268" s="3">
        <f>126+10/60</f>
        <v>126.16666666666667</v>
      </c>
      <c r="E1268" t="s">
        <v>15</v>
      </c>
      <c r="F1268" t="s">
        <v>20</v>
      </c>
      <c r="G1268" t="s">
        <v>106</v>
      </c>
      <c r="H1268">
        <v>40</v>
      </c>
      <c r="I1268" t="s">
        <v>15</v>
      </c>
      <c r="J1268" t="s">
        <v>15</v>
      </c>
      <c r="K1268" t="s">
        <v>12</v>
      </c>
      <c r="L1268" t="s">
        <v>486</v>
      </c>
      <c r="M1268" t="s">
        <v>954</v>
      </c>
      <c r="O1268">
        <v>16.8</v>
      </c>
      <c r="P1268">
        <v>1.5</v>
      </c>
      <c r="AW1268">
        <v>1</v>
      </c>
    </row>
    <row r="1269" spans="1:168" x14ac:dyDescent="0.25">
      <c r="A1269" t="s">
        <v>487</v>
      </c>
      <c r="B1269" t="s">
        <v>269</v>
      </c>
      <c r="C1269" s="3">
        <f>33+17/60</f>
        <v>33.283333333333331</v>
      </c>
      <c r="D1269" s="3">
        <f>126+10/60</f>
        <v>126.16666666666667</v>
      </c>
      <c r="E1269" t="s">
        <v>15</v>
      </c>
      <c r="F1269" t="s">
        <v>20</v>
      </c>
      <c r="G1269" t="s">
        <v>106</v>
      </c>
      <c r="H1269">
        <v>40</v>
      </c>
      <c r="I1269" t="s">
        <v>15</v>
      </c>
      <c r="J1269" t="s">
        <v>15</v>
      </c>
      <c r="K1269" t="s">
        <v>12</v>
      </c>
      <c r="L1269" t="s">
        <v>486</v>
      </c>
      <c r="M1269" t="s">
        <v>954</v>
      </c>
      <c r="O1269">
        <v>13.6</v>
      </c>
      <c r="P1269">
        <v>1.97</v>
      </c>
      <c r="AZ1269">
        <v>1</v>
      </c>
    </row>
    <row r="1270" spans="1:168" x14ac:dyDescent="0.25">
      <c r="A1270" t="s">
        <v>268</v>
      </c>
      <c r="B1270" t="s">
        <v>269</v>
      </c>
      <c r="C1270" s="3">
        <v>37.549999999999997</v>
      </c>
      <c r="D1270" s="3">
        <v>126.98</v>
      </c>
      <c r="E1270" t="s">
        <v>12</v>
      </c>
      <c r="F1270" t="s">
        <v>77</v>
      </c>
      <c r="G1270" t="s">
        <v>97</v>
      </c>
      <c r="I1270" t="s">
        <v>12</v>
      </c>
      <c r="J1270" t="s">
        <v>15</v>
      </c>
      <c r="K1270" t="s">
        <v>12</v>
      </c>
      <c r="L1270" t="s">
        <v>594</v>
      </c>
      <c r="M1270" t="s">
        <v>885</v>
      </c>
      <c r="O1270">
        <v>36.9</v>
      </c>
      <c r="P1270">
        <v>19.2</v>
      </c>
      <c r="DF1270">
        <v>0.25</v>
      </c>
      <c r="DG1270">
        <v>0.25</v>
      </c>
    </row>
    <row r="1271" spans="1:168" x14ac:dyDescent="0.25">
      <c r="A1271" t="s">
        <v>268</v>
      </c>
      <c r="B1271" t="s">
        <v>269</v>
      </c>
      <c r="C1271" s="3">
        <v>37.549999999999997</v>
      </c>
      <c r="D1271" s="3">
        <v>126.98</v>
      </c>
      <c r="E1271" t="s">
        <v>12</v>
      </c>
      <c r="F1271" t="s">
        <v>77</v>
      </c>
      <c r="G1271" t="s">
        <v>97</v>
      </c>
      <c r="I1271" t="s">
        <v>12</v>
      </c>
      <c r="J1271" t="s">
        <v>15</v>
      </c>
      <c r="K1271" t="s">
        <v>12</v>
      </c>
      <c r="L1271" t="s">
        <v>594</v>
      </c>
      <c r="M1271" t="s">
        <v>885</v>
      </c>
      <c r="O1271">
        <v>50.7</v>
      </c>
      <c r="P1271">
        <v>19.2</v>
      </c>
      <c r="DJ1271">
        <v>0.25</v>
      </c>
    </row>
    <row r="1272" spans="1:168" x14ac:dyDescent="0.25">
      <c r="A1272" t="s">
        <v>268</v>
      </c>
      <c r="B1272" t="s">
        <v>269</v>
      </c>
      <c r="C1272" s="3">
        <v>37.549999999999997</v>
      </c>
      <c r="D1272" s="3">
        <v>126.98</v>
      </c>
      <c r="E1272" t="s">
        <v>12</v>
      </c>
      <c r="F1272" t="s">
        <v>77</v>
      </c>
      <c r="G1272" t="s">
        <v>97</v>
      </c>
      <c r="I1272" t="s">
        <v>12</v>
      </c>
      <c r="J1272" t="s">
        <v>15</v>
      </c>
      <c r="K1272" t="s">
        <v>12</v>
      </c>
      <c r="L1272" t="s">
        <v>594</v>
      </c>
      <c r="M1272" t="s">
        <v>885</v>
      </c>
      <c r="O1272">
        <v>56</v>
      </c>
      <c r="P1272">
        <v>16.3</v>
      </c>
      <c r="DM1272">
        <v>0.25</v>
      </c>
    </row>
    <row r="1273" spans="1:168" x14ac:dyDescent="0.25">
      <c r="A1273" t="s">
        <v>268</v>
      </c>
      <c r="B1273" t="s">
        <v>269</v>
      </c>
      <c r="C1273" s="3">
        <v>37.549999999999997</v>
      </c>
      <c r="D1273" s="3">
        <v>126.98</v>
      </c>
      <c r="E1273" t="s">
        <v>12</v>
      </c>
      <c r="F1273" t="s">
        <v>77</v>
      </c>
      <c r="G1273" t="s">
        <v>97</v>
      </c>
      <c r="I1273" t="s">
        <v>12</v>
      </c>
      <c r="J1273" t="s">
        <v>15</v>
      </c>
      <c r="K1273" t="s">
        <v>12</v>
      </c>
      <c r="L1273" t="s">
        <v>594</v>
      </c>
      <c r="M1273" t="s">
        <v>885</v>
      </c>
      <c r="O1273">
        <v>37.299999999999997</v>
      </c>
      <c r="P1273">
        <v>17.3</v>
      </c>
      <c r="DQ1273">
        <v>0.25</v>
      </c>
    </row>
    <row r="1274" spans="1:168" x14ac:dyDescent="0.25">
      <c r="A1274" t="s">
        <v>268</v>
      </c>
      <c r="B1274" t="s">
        <v>269</v>
      </c>
      <c r="C1274" s="3">
        <v>37.549999999999997</v>
      </c>
      <c r="D1274" s="3">
        <v>126.98</v>
      </c>
      <c r="E1274" t="s">
        <v>12</v>
      </c>
      <c r="F1274" t="s">
        <v>77</v>
      </c>
      <c r="G1274" t="s">
        <v>97</v>
      </c>
      <c r="I1274" t="s">
        <v>12</v>
      </c>
      <c r="J1274" t="s">
        <v>15</v>
      </c>
      <c r="K1274" t="s">
        <v>12</v>
      </c>
      <c r="L1274" t="s">
        <v>594</v>
      </c>
      <c r="M1274" t="s">
        <v>885</v>
      </c>
      <c r="O1274">
        <v>49.1</v>
      </c>
      <c r="P1274">
        <v>26.6</v>
      </c>
      <c r="DR1274">
        <v>0.5</v>
      </c>
      <c r="DS1274">
        <v>1</v>
      </c>
    </row>
    <row r="1275" spans="1:168" x14ac:dyDescent="0.25">
      <c r="A1275" t="s">
        <v>268</v>
      </c>
      <c r="B1275" t="s">
        <v>269</v>
      </c>
      <c r="C1275" s="3">
        <v>37.549999999999997</v>
      </c>
      <c r="D1275" s="3">
        <v>126.98</v>
      </c>
      <c r="E1275" t="s">
        <v>12</v>
      </c>
      <c r="F1275" t="s">
        <v>77</v>
      </c>
      <c r="G1275" t="s">
        <v>97</v>
      </c>
      <c r="I1275" t="s">
        <v>12</v>
      </c>
      <c r="J1275" t="s">
        <v>15</v>
      </c>
      <c r="K1275" t="s">
        <v>12</v>
      </c>
      <c r="L1275" t="s">
        <v>594</v>
      </c>
      <c r="M1275" t="s">
        <v>885</v>
      </c>
      <c r="O1275">
        <v>30.9</v>
      </c>
      <c r="P1275">
        <v>12.6</v>
      </c>
      <c r="DU1275">
        <v>0.5</v>
      </c>
    </row>
    <row r="1276" spans="1:168" x14ac:dyDescent="0.25">
      <c r="A1276" t="s">
        <v>268</v>
      </c>
      <c r="B1276" t="s">
        <v>269</v>
      </c>
      <c r="C1276" s="3">
        <v>37.56</v>
      </c>
      <c r="D1276" s="3">
        <v>126.94</v>
      </c>
      <c r="E1276" t="s">
        <v>34</v>
      </c>
      <c r="F1276" t="s">
        <v>77</v>
      </c>
      <c r="G1276" t="s">
        <v>555</v>
      </c>
      <c r="I1276" t="s">
        <v>12</v>
      </c>
      <c r="J1276" t="s">
        <v>12</v>
      </c>
      <c r="K1276" t="s">
        <v>12</v>
      </c>
      <c r="L1276" t="s">
        <v>556</v>
      </c>
      <c r="M1276" t="s">
        <v>915</v>
      </c>
      <c r="O1276">
        <v>47</v>
      </c>
      <c r="FH1276">
        <v>1</v>
      </c>
    </row>
    <row r="1277" spans="1:168" x14ac:dyDescent="0.25">
      <c r="A1277" t="s">
        <v>268</v>
      </c>
      <c r="B1277" t="s">
        <v>269</v>
      </c>
      <c r="C1277" s="3">
        <v>37.56</v>
      </c>
      <c r="D1277" s="3">
        <v>126.94</v>
      </c>
      <c r="E1277" t="s">
        <v>34</v>
      </c>
      <c r="F1277" t="s">
        <v>77</v>
      </c>
      <c r="G1277" t="s">
        <v>555</v>
      </c>
      <c r="I1277" t="s">
        <v>12</v>
      </c>
      <c r="J1277" t="s">
        <v>12</v>
      </c>
      <c r="K1277" t="s">
        <v>12</v>
      </c>
      <c r="L1277" t="s">
        <v>556</v>
      </c>
      <c r="M1277" t="s">
        <v>915</v>
      </c>
      <c r="O1277">
        <v>61</v>
      </c>
      <c r="FI1277">
        <v>1</v>
      </c>
    </row>
    <row r="1278" spans="1:168" x14ac:dyDescent="0.25">
      <c r="A1278" t="s">
        <v>268</v>
      </c>
      <c r="B1278" t="s">
        <v>269</v>
      </c>
      <c r="C1278" s="3">
        <v>37.56</v>
      </c>
      <c r="D1278" s="3">
        <v>126.94</v>
      </c>
      <c r="E1278" t="s">
        <v>34</v>
      </c>
      <c r="F1278" t="s">
        <v>77</v>
      </c>
      <c r="G1278" t="s">
        <v>555</v>
      </c>
      <c r="I1278" t="s">
        <v>12</v>
      </c>
      <c r="J1278" t="s">
        <v>12</v>
      </c>
      <c r="K1278" t="s">
        <v>12</v>
      </c>
      <c r="L1278" t="s">
        <v>556</v>
      </c>
      <c r="M1278" t="s">
        <v>915</v>
      </c>
      <c r="O1278">
        <v>43</v>
      </c>
      <c r="FJ1278">
        <v>1</v>
      </c>
    </row>
    <row r="1279" spans="1:168" x14ac:dyDescent="0.25">
      <c r="A1279" t="s">
        <v>268</v>
      </c>
      <c r="B1279" t="s">
        <v>269</v>
      </c>
      <c r="C1279" s="3">
        <v>37.56</v>
      </c>
      <c r="D1279" s="3">
        <v>126.94</v>
      </c>
      <c r="E1279" t="s">
        <v>34</v>
      </c>
      <c r="F1279" t="s">
        <v>77</v>
      </c>
      <c r="G1279" t="s">
        <v>555</v>
      </c>
      <c r="I1279" t="s">
        <v>12</v>
      </c>
      <c r="J1279" t="s">
        <v>12</v>
      </c>
      <c r="K1279" t="s">
        <v>12</v>
      </c>
      <c r="L1279" t="s">
        <v>556</v>
      </c>
      <c r="M1279" t="s">
        <v>915</v>
      </c>
      <c r="O1279">
        <v>47</v>
      </c>
      <c r="FK1279">
        <v>1</v>
      </c>
    </row>
    <row r="1280" spans="1:168" x14ac:dyDescent="0.25">
      <c r="A1280" t="s">
        <v>268</v>
      </c>
      <c r="B1280" t="s">
        <v>269</v>
      </c>
      <c r="C1280" s="3">
        <v>37.56</v>
      </c>
      <c r="D1280" s="3">
        <v>126.94</v>
      </c>
      <c r="E1280" t="s">
        <v>34</v>
      </c>
      <c r="F1280" t="s">
        <v>77</v>
      </c>
      <c r="G1280" t="s">
        <v>555</v>
      </c>
      <c r="I1280" t="s">
        <v>12</v>
      </c>
      <c r="J1280" t="s">
        <v>12</v>
      </c>
      <c r="K1280" t="s">
        <v>12</v>
      </c>
      <c r="L1280" t="s">
        <v>556</v>
      </c>
      <c r="M1280" t="s">
        <v>915</v>
      </c>
      <c r="O1280">
        <v>22</v>
      </c>
      <c r="FL1280">
        <v>1</v>
      </c>
    </row>
    <row r="1281" spans="1:175" x14ac:dyDescent="0.25">
      <c r="A1281" t="s">
        <v>268</v>
      </c>
      <c r="B1281" t="s">
        <v>269</v>
      </c>
      <c r="C1281" s="3">
        <v>37.56</v>
      </c>
      <c r="D1281" s="3">
        <v>126.94</v>
      </c>
      <c r="E1281" t="s">
        <v>34</v>
      </c>
      <c r="F1281" t="s">
        <v>77</v>
      </c>
      <c r="G1281" t="s">
        <v>555</v>
      </c>
      <c r="I1281" t="s">
        <v>12</v>
      </c>
      <c r="J1281" t="s">
        <v>12</v>
      </c>
      <c r="K1281" t="s">
        <v>12</v>
      </c>
      <c r="L1281" t="s">
        <v>556</v>
      </c>
      <c r="M1281" t="s">
        <v>915</v>
      </c>
      <c r="O1281">
        <v>23</v>
      </c>
      <c r="FM1281">
        <v>1</v>
      </c>
    </row>
    <row r="1282" spans="1:175" x14ac:dyDescent="0.25">
      <c r="A1282" t="s">
        <v>268</v>
      </c>
      <c r="B1282" t="s">
        <v>269</v>
      </c>
      <c r="C1282" s="3">
        <v>37.56</v>
      </c>
      <c r="D1282" s="3">
        <v>126.94</v>
      </c>
      <c r="E1282" t="s">
        <v>34</v>
      </c>
      <c r="F1282" t="s">
        <v>77</v>
      </c>
      <c r="G1282" t="s">
        <v>555</v>
      </c>
      <c r="I1282" t="s">
        <v>12</v>
      </c>
      <c r="J1282" t="s">
        <v>12</v>
      </c>
      <c r="K1282" t="s">
        <v>12</v>
      </c>
      <c r="L1282" t="s">
        <v>556</v>
      </c>
      <c r="M1282" t="s">
        <v>915</v>
      </c>
      <c r="O1282">
        <v>36</v>
      </c>
      <c r="FN1282">
        <v>1</v>
      </c>
    </row>
    <row r="1283" spans="1:175" x14ac:dyDescent="0.25">
      <c r="A1283" t="s">
        <v>268</v>
      </c>
      <c r="B1283" t="s">
        <v>269</v>
      </c>
      <c r="C1283" s="3">
        <v>37.56</v>
      </c>
      <c r="D1283" s="3">
        <v>126.94</v>
      </c>
      <c r="E1283" t="s">
        <v>34</v>
      </c>
      <c r="F1283" t="s">
        <v>77</v>
      </c>
      <c r="G1283" t="s">
        <v>555</v>
      </c>
      <c r="I1283" t="s">
        <v>12</v>
      </c>
      <c r="J1283" t="s">
        <v>12</v>
      </c>
      <c r="K1283" t="s">
        <v>12</v>
      </c>
      <c r="L1283" t="s">
        <v>556</v>
      </c>
      <c r="M1283" t="s">
        <v>915</v>
      </c>
      <c r="O1283">
        <v>46</v>
      </c>
      <c r="FO1283">
        <v>1</v>
      </c>
    </row>
    <row r="1284" spans="1:175" x14ac:dyDescent="0.25">
      <c r="A1284" t="s">
        <v>268</v>
      </c>
      <c r="B1284" t="s">
        <v>269</v>
      </c>
      <c r="C1284" s="3">
        <v>37.56</v>
      </c>
      <c r="D1284" s="3">
        <v>126.94</v>
      </c>
      <c r="E1284" t="s">
        <v>34</v>
      </c>
      <c r="F1284" t="s">
        <v>77</v>
      </c>
      <c r="G1284" t="s">
        <v>555</v>
      </c>
      <c r="I1284" t="s">
        <v>12</v>
      </c>
      <c r="J1284" t="s">
        <v>12</v>
      </c>
      <c r="K1284" t="s">
        <v>12</v>
      </c>
      <c r="L1284" t="s">
        <v>556</v>
      </c>
      <c r="M1284" t="s">
        <v>915</v>
      </c>
      <c r="O1284">
        <v>48</v>
      </c>
      <c r="FP1284">
        <v>1</v>
      </c>
    </row>
    <row r="1285" spans="1:175" x14ac:dyDescent="0.25">
      <c r="A1285" t="s">
        <v>268</v>
      </c>
      <c r="B1285" t="s">
        <v>269</v>
      </c>
      <c r="C1285" s="3">
        <v>37.56</v>
      </c>
      <c r="D1285" s="3">
        <v>126.94</v>
      </c>
      <c r="E1285" t="s">
        <v>34</v>
      </c>
      <c r="F1285" t="s">
        <v>77</v>
      </c>
      <c r="G1285" t="s">
        <v>555</v>
      </c>
      <c r="I1285" t="s">
        <v>12</v>
      </c>
      <c r="J1285" t="s">
        <v>12</v>
      </c>
      <c r="K1285" t="s">
        <v>12</v>
      </c>
      <c r="L1285" t="s">
        <v>556</v>
      </c>
      <c r="M1285" t="s">
        <v>915</v>
      </c>
      <c r="O1285">
        <v>40</v>
      </c>
      <c r="FQ1285">
        <v>1</v>
      </c>
    </row>
    <row r="1286" spans="1:175" x14ac:dyDescent="0.25">
      <c r="A1286" t="s">
        <v>268</v>
      </c>
      <c r="B1286" t="s">
        <v>269</v>
      </c>
      <c r="C1286" s="3">
        <v>37.56</v>
      </c>
      <c r="D1286" s="3">
        <v>126.94</v>
      </c>
      <c r="E1286" t="s">
        <v>34</v>
      </c>
      <c r="F1286" t="s">
        <v>77</v>
      </c>
      <c r="G1286" t="s">
        <v>555</v>
      </c>
      <c r="I1286" t="s">
        <v>12</v>
      </c>
      <c r="J1286" t="s">
        <v>12</v>
      </c>
      <c r="K1286" t="s">
        <v>12</v>
      </c>
      <c r="L1286" t="s">
        <v>556</v>
      </c>
      <c r="M1286" t="s">
        <v>915</v>
      </c>
      <c r="O1286">
        <v>38</v>
      </c>
      <c r="FR1286">
        <v>1</v>
      </c>
    </row>
    <row r="1287" spans="1:175" x14ac:dyDescent="0.25">
      <c r="A1287" t="s">
        <v>268</v>
      </c>
      <c r="B1287" t="s">
        <v>269</v>
      </c>
      <c r="C1287" s="3">
        <v>37.56</v>
      </c>
      <c r="D1287" s="3">
        <v>126.94</v>
      </c>
      <c r="E1287" t="s">
        <v>34</v>
      </c>
      <c r="F1287" t="s">
        <v>77</v>
      </c>
      <c r="G1287" t="s">
        <v>555</v>
      </c>
      <c r="I1287" t="s">
        <v>12</v>
      </c>
      <c r="J1287" t="s">
        <v>12</v>
      </c>
      <c r="K1287" t="s">
        <v>12</v>
      </c>
      <c r="L1287" t="s">
        <v>556</v>
      </c>
      <c r="M1287" t="s">
        <v>915</v>
      </c>
      <c r="O1287">
        <v>48</v>
      </c>
      <c r="FS1287">
        <v>1</v>
      </c>
    </row>
    <row r="1288" spans="1:175" x14ac:dyDescent="0.25">
      <c r="A1288" t="s">
        <v>268</v>
      </c>
      <c r="B1288" t="s">
        <v>269</v>
      </c>
      <c r="C1288" s="3">
        <v>37.54</v>
      </c>
      <c r="D1288" s="3">
        <v>127.08</v>
      </c>
      <c r="E1288" t="s">
        <v>34</v>
      </c>
      <c r="F1288" t="s">
        <v>77</v>
      </c>
      <c r="G1288" t="s">
        <v>106</v>
      </c>
      <c r="I1288" t="s">
        <v>12</v>
      </c>
      <c r="J1288" t="s">
        <v>12</v>
      </c>
      <c r="K1288" t="s">
        <v>15</v>
      </c>
      <c r="L1288" t="s">
        <v>543</v>
      </c>
      <c r="M1288" t="s">
        <v>921</v>
      </c>
      <c r="O1288">
        <v>48.8</v>
      </c>
      <c r="CN1288">
        <v>1</v>
      </c>
      <c r="CO1288">
        <v>0.5</v>
      </c>
    </row>
    <row r="1289" spans="1:175" x14ac:dyDescent="0.25">
      <c r="A1289" t="s">
        <v>268</v>
      </c>
      <c r="B1289" t="s">
        <v>269</v>
      </c>
      <c r="C1289" s="3">
        <v>37.54</v>
      </c>
      <c r="D1289" s="3">
        <v>127.08</v>
      </c>
      <c r="E1289" t="s">
        <v>34</v>
      </c>
      <c r="F1289" t="s">
        <v>77</v>
      </c>
      <c r="G1289" t="s">
        <v>106</v>
      </c>
      <c r="I1289" t="s">
        <v>12</v>
      </c>
      <c r="J1289" t="s">
        <v>12</v>
      </c>
      <c r="K1289" t="s">
        <v>15</v>
      </c>
      <c r="L1289" t="s">
        <v>543</v>
      </c>
      <c r="M1289" t="s">
        <v>921</v>
      </c>
      <c r="O1289">
        <v>22.9</v>
      </c>
      <c r="CQ1289">
        <v>0.25</v>
      </c>
      <c r="CR1289">
        <v>1</v>
      </c>
      <c r="CS1289">
        <v>0.25</v>
      </c>
    </row>
    <row r="1290" spans="1:175" x14ac:dyDescent="0.25">
      <c r="A1290" t="s">
        <v>268</v>
      </c>
      <c r="B1290" t="s">
        <v>269</v>
      </c>
      <c r="C1290" s="3">
        <v>37.54</v>
      </c>
      <c r="D1290" s="3">
        <v>127.08</v>
      </c>
      <c r="E1290" t="s">
        <v>34</v>
      </c>
      <c r="F1290" t="s">
        <v>77</v>
      </c>
      <c r="G1290" t="s">
        <v>106</v>
      </c>
      <c r="I1290" t="s">
        <v>12</v>
      </c>
      <c r="J1290" t="s">
        <v>12</v>
      </c>
      <c r="K1290" t="s">
        <v>15</v>
      </c>
      <c r="L1290" t="s">
        <v>543</v>
      </c>
      <c r="M1290" t="s">
        <v>921</v>
      </c>
      <c r="O1290">
        <v>72.5</v>
      </c>
      <c r="CT1290">
        <v>0.25</v>
      </c>
      <c r="CU1290">
        <v>1</v>
      </c>
    </row>
    <row r="1291" spans="1:175" x14ac:dyDescent="0.25">
      <c r="A1291" t="s">
        <v>268</v>
      </c>
      <c r="B1291" t="s">
        <v>269</v>
      </c>
      <c r="C1291" s="3">
        <v>37.54</v>
      </c>
      <c r="D1291" s="3">
        <v>127.08</v>
      </c>
      <c r="E1291" t="s">
        <v>34</v>
      </c>
      <c r="F1291" t="s">
        <v>77</v>
      </c>
      <c r="G1291" t="s">
        <v>106</v>
      </c>
      <c r="I1291" t="s">
        <v>12</v>
      </c>
      <c r="J1291" t="s">
        <v>12</v>
      </c>
      <c r="K1291" t="s">
        <v>15</v>
      </c>
      <c r="L1291" t="s">
        <v>543</v>
      </c>
      <c r="M1291" t="s">
        <v>921</v>
      </c>
      <c r="O1291">
        <v>51.6</v>
      </c>
      <c r="CW1291">
        <v>1</v>
      </c>
    </row>
    <row r="1292" spans="1:175" x14ac:dyDescent="0.25">
      <c r="A1292" t="s">
        <v>268</v>
      </c>
      <c r="B1292" t="s">
        <v>269</v>
      </c>
      <c r="C1292" s="3">
        <v>37.4</v>
      </c>
      <c r="D1292" s="3">
        <v>126.9</v>
      </c>
      <c r="E1292" t="s">
        <v>15</v>
      </c>
      <c r="F1292" t="s">
        <v>77</v>
      </c>
      <c r="G1292" t="s">
        <v>106</v>
      </c>
      <c r="I1292" t="s">
        <v>12</v>
      </c>
      <c r="J1292" t="s">
        <v>12</v>
      </c>
      <c r="K1292" t="s">
        <v>12</v>
      </c>
      <c r="L1292" t="s">
        <v>524</v>
      </c>
      <c r="M1292" t="s">
        <v>931</v>
      </c>
      <c r="O1292">
        <v>40.6</v>
      </c>
      <c r="DD1292">
        <v>1</v>
      </c>
      <c r="DE1292">
        <v>1</v>
      </c>
      <c r="DF1292">
        <v>1</v>
      </c>
      <c r="DG1292">
        <v>1</v>
      </c>
      <c r="DH1292">
        <v>1</v>
      </c>
      <c r="DI1292">
        <v>1</v>
      </c>
      <c r="DJ1292">
        <v>1</v>
      </c>
      <c r="DK1292">
        <v>1</v>
      </c>
      <c r="DL1292">
        <v>1</v>
      </c>
      <c r="DM1292">
        <v>1</v>
      </c>
      <c r="DN1292">
        <v>1</v>
      </c>
      <c r="DO1292">
        <v>1</v>
      </c>
      <c r="DP1292">
        <v>1</v>
      </c>
      <c r="DQ1292">
        <v>1</v>
      </c>
      <c r="DR1292">
        <v>1</v>
      </c>
      <c r="DS1292">
        <v>1</v>
      </c>
      <c r="DT1292">
        <v>1</v>
      </c>
      <c r="DU1292">
        <v>1</v>
      </c>
      <c r="DV1292">
        <v>1</v>
      </c>
      <c r="DW1292">
        <v>1</v>
      </c>
      <c r="DX1292">
        <v>1</v>
      </c>
      <c r="DY1292">
        <v>1</v>
      </c>
      <c r="DZ1292">
        <v>1</v>
      </c>
      <c r="EA1292">
        <v>1</v>
      </c>
    </row>
    <row r="1293" spans="1:175" x14ac:dyDescent="0.25">
      <c r="A1293" t="s">
        <v>268</v>
      </c>
      <c r="B1293" t="s">
        <v>269</v>
      </c>
      <c r="C1293" s="3">
        <v>37.514000000000003</v>
      </c>
      <c r="D1293" s="3">
        <v>127.001</v>
      </c>
      <c r="E1293" t="s">
        <v>15</v>
      </c>
      <c r="F1293" t="s">
        <v>77</v>
      </c>
      <c r="G1293" t="s">
        <v>106</v>
      </c>
      <c r="I1293" t="s">
        <v>15</v>
      </c>
      <c r="J1293" t="s">
        <v>15</v>
      </c>
      <c r="K1293" t="s">
        <v>12</v>
      </c>
      <c r="L1293" t="s">
        <v>523</v>
      </c>
      <c r="M1293" t="s">
        <v>932</v>
      </c>
      <c r="O1293">
        <v>46.5</v>
      </c>
      <c r="P1293">
        <v>18.5</v>
      </c>
      <c r="DK1293">
        <v>1</v>
      </c>
      <c r="DL1293">
        <v>1</v>
      </c>
      <c r="DM1293">
        <v>1</v>
      </c>
      <c r="DW1293">
        <v>1</v>
      </c>
      <c r="DX1293">
        <v>1</v>
      </c>
      <c r="DY1293">
        <v>1</v>
      </c>
    </row>
    <row r="1294" spans="1:175" x14ac:dyDescent="0.25">
      <c r="A1294" t="s">
        <v>268</v>
      </c>
      <c r="B1294" t="s">
        <v>269</v>
      </c>
      <c r="C1294" s="3">
        <v>37.514000000000003</v>
      </c>
      <c r="D1294" s="3">
        <v>127.001</v>
      </c>
      <c r="E1294" t="s">
        <v>15</v>
      </c>
      <c r="F1294" t="s">
        <v>77</v>
      </c>
      <c r="G1294" t="s">
        <v>106</v>
      </c>
      <c r="I1294" t="s">
        <v>15</v>
      </c>
      <c r="J1294" t="s">
        <v>15</v>
      </c>
      <c r="K1294" t="s">
        <v>12</v>
      </c>
      <c r="L1294" t="s">
        <v>523</v>
      </c>
      <c r="M1294" t="s">
        <v>932</v>
      </c>
      <c r="O1294">
        <v>38.200000000000003</v>
      </c>
      <c r="P1294">
        <v>24.2</v>
      </c>
      <c r="DN1294">
        <v>1</v>
      </c>
      <c r="DO1294">
        <v>1</v>
      </c>
      <c r="DP1294">
        <v>1</v>
      </c>
      <c r="DZ1294">
        <v>1</v>
      </c>
      <c r="EA1294">
        <v>1</v>
      </c>
      <c r="EB1294">
        <v>1</v>
      </c>
    </row>
    <row r="1295" spans="1:175" x14ac:dyDescent="0.25">
      <c r="A1295" t="s">
        <v>268</v>
      </c>
      <c r="B1295" t="s">
        <v>269</v>
      </c>
      <c r="C1295" s="3">
        <v>37.514000000000003</v>
      </c>
      <c r="D1295" s="3">
        <v>127.001</v>
      </c>
      <c r="E1295" t="s">
        <v>15</v>
      </c>
      <c r="F1295" t="s">
        <v>77</v>
      </c>
      <c r="G1295" t="s">
        <v>106</v>
      </c>
      <c r="I1295" t="s">
        <v>15</v>
      </c>
      <c r="J1295" t="s">
        <v>15</v>
      </c>
      <c r="K1295" t="s">
        <v>12</v>
      </c>
      <c r="L1295" t="s">
        <v>523</v>
      </c>
      <c r="M1295" t="s">
        <v>932</v>
      </c>
      <c r="O1295">
        <v>41.8</v>
      </c>
      <c r="P1295">
        <v>27.5</v>
      </c>
      <c r="DQ1295">
        <v>1</v>
      </c>
      <c r="DR1295">
        <v>1</v>
      </c>
      <c r="DS1295">
        <v>1</v>
      </c>
      <c r="EC1295">
        <v>1</v>
      </c>
      <c r="ED1295">
        <v>1</v>
      </c>
      <c r="EE1295">
        <v>1</v>
      </c>
    </row>
    <row r="1296" spans="1:175" x14ac:dyDescent="0.25">
      <c r="A1296" t="s">
        <v>268</v>
      </c>
      <c r="B1296" t="s">
        <v>269</v>
      </c>
      <c r="C1296" s="3">
        <v>37.514000000000003</v>
      </c>
      <c r="D1296" s="3">
        <v>127.001</v>
      </c>
      <c r="E1296" t="s">
        <v>15</v>
      </c>
      <c r="F1296" t="s">
        <v>77</v>
      </c>
      <c r="G1296" t="s">
        <v>106</v>
      </c>
      <c r="I1296" t="s">
        <v>15</v>
      </c>
      <c r="J1296" t="s">
        <v>15</v>
      </c>
      <c r="K1296" t="s">
        <v>12</v>
      </c>
      <c r="L1296" t="s">
        <v>523</v>
      </c>
      <c r="M1296" t="s">
        <v>932</v>
      </c>
      <c r="O1296">
        <v>44.7</v>
      </c>
      <c r="P1296">
        <v>21.4</v>
      </c>
      <c r="DT1296">
        <v>1</v>
      </c>
      <c r="DU1296">
        <v>1</v>
      </c>
      <c r="DV1296">
        <v>1</v>
      </c>
      <c r="EF1296">
        <v>1</v>
      </c>
      <c r="EG1296">
        <v>1</v>
      </c>
      <c r="EH1296">
        <v>1</v>
      </c>
    </row>
    <row r="1297" spans="1:208" x14ac:dyDescent="0.25">
      <c r="A1297" t="s">
        <v>268</v>
      </c>
      <c r="B1297" t="s">
        <v>269</v>
      </c>
      <c r="C1297" s="3">
        <v>37.549999999999997</v>
      </c>
      <c r="D1297" s="3">
        <v>126.94</v>
      </c>
      <c r="E1297" t="s">
        <v>34</v>
      </c>
      <c r="F1297" t="s">
        <v>77</v>
      </c>
      <c r="G1297" t="s">
        <v>97</v>
      </c>
      <c r="I1297" t="s">
        <v>15</v>
      </c>
      <c r="J1297" t="s">
        <v>12</v>
      </c>
      <c r="K1297" t="s">
        <v>12</v>
      </c>
      <c r="L1297" t="s">
        <v>373</v>
      </c>
      <c r="M1297" t="s">
        <v>1011</v>
      </c>
      <c r="O1297">
        <v>44.4</v>
      </c>
      <c r="P1297">
        <v>20</v>
      </c>
      <c r="BQ1297">
        <v>0.25</v>
      </c>
      <c r="BR1297">
        <v>0.25</v>
      </c>
    </row>
    <row r="1298" spans="1:208" x14ac:dyDescent="0.25">
      <c r="A1298" t="s">
        <v>268</v>
      </c>
      <c r="B1298" t="s">
        <v>269</v>
      </c>
      <c r="C1298" s="3">
        <v>37.5</v>
      </c>
      <c r="D1298" s="3">
        <v>126.9</v>
      </c>
      <c r="E1298" t="s">
        <v>12</v>
      </c>
      <c r="F1298" t="s">
        <v>77</v>
      </c>
      <c r="G1298" t="s">
        <v>106</v>
      </c>
      <c r="I1298" t="s">
        <v>15</v>
      </c>
      <c r="J1298" t="s">
        <v>15</v>
      </c>
      <c r="K1298" t="s">
        <v>15</v>
      </c>
      <c r="L1298" t="s">
        <v>372</v>
      </c>
      <c r="M1298" t="s">
        <v>1012</v>
      </c>
      <c r="O1298">
        <v>47.84</v>
      </c>
      <c r="P1298">
        <v>34.31</v>
      </c>
      <c r="BX1298">
        <v>0.25</v>
      </c>
      <c r="BY1298">
        <v>0.25</v>
      </c>
    </row>
    <row r="1299" spans="1:208" x14ac:dyDescent="0.25">
      <c r="A1299" t="s">
        <v>268</v>
      </c>
      <c r="B1299" t="s">
        <v>269</v>
      </c>
      <c r="C1299" s="3">
        <v>37.549999999999997</v>
      </c>
      <c r="D1299" s="3">
        <v>126.95</v>
      </c>
      <c r="E1299" t="s">
        <v>12</v>
      </c>
      <c r="F1299" t="s">
        <v>21</v>
      </c>
      <c r="G1299" t="s">
        <v>106</v>
      </c>
      <c r="I1299" t="s">
        <v>12</v>
      </c>
      <c r="J1299" t="s">
        <v>12</v>
      </c>
      <c r="K1299" t="s">
        <v>15</v>
      </c>
      <c r="L1299" t="s">
        <v>367</v>
      </c>
      <c r="M1299" t="s">
        <v>1015</v>
      </c>
      <c r="O1299">
        <v>37</v>
      </c>
      <c r="P1299">
        <v>24.8</v>
      </c>
      <c r="EJ1299">
        <v>1</v>
      </c>
    </row>
    <row r="1300" spans="1:208" x14ac:dyDescent="0.25">
      <c r="A1300" t="s">
        <v>268</v>
      </c>
      <c r="B1300" t="s">
        <v>269</v>
      </c>
      <c r="C1300" s="3">
        <v>37.549999999999997</v>
      </c>
      <c r="D1300" s="3">
        <v>126.95</v>
      </c>
      <c r="E1300" t="s">
        <v>12</v>
      </c>
      <c r="F1300" t="s">
        <v>21</v>
      </c>
      <c r="G1300" t="s">
        <v>106</v>
      </c>
      <c r="I1300" t="s">
        <v>12</v>
      </c>
      <c r="J1300" t="s">
        <v>12</v>
      </c>
      <c r="K1300" t="s">
        <v>15</v>
      </c>
      <c r="L1300" t="s">
        <v>367</v>
      </c>
      <c r="M1300" t="s">
        <v>1015</v>
      </c>
      <c r="O1300">
        <v>40.700000000000003</v>
      </c>
      <c r="P1300">
        <v>18</v>
      </c>
      <c r="EL1300">
        <v>1</v>
      </c>
    </row>
    <row r="1301" spans="1:208" x14ac:dyDescent="0.25">
      <c r="A1301" t="s">
        <v>268</v>
      </c>
      <c r="B1301" t="s">
        <v>269</v>
      </c>
      <c r="C1301" s="3">
        <v>37.549999999999997</v>
      </c>
      <c r="D1301" s="3">
        <v>126.95</v>
      </c>
      <c r="E1301" t="s">
        <v>12</v>
      </c>
      <c r="F1301" t="s">
        <v>21</v>
      </c>
      <c r="G1301" t="s">
        <v>106</v>
      </c>
      <c r="I1301" t="s">
        <v>12</v>
      </c>
      <c r="J1301" t="s">
        <v>12</v>
      </c>
      <c r="K1301" t="s">
        <v>15</v>
      </c>
      <c r="L1301" t="s">
        <v>367</v>
      </c>
      <c r="M1301" t="s">
        <v>1015</v>
      </c>
      <c r="O1301">
        <v>28</v>
      </c>
      <c r="P1301">
        <v>23.4</v>
      </c>
      <c r="EN1301">
        <v>1</v>
      </c>
    </row>
    <row r="1302" spans="1:208" x14ac:dyDescent="0.25">
      <c r="A1302" t="s">
        <v>268</v>
      </c>
      <c r="B1302" t="s">
        <v>269</v>
      </c>
      <c r="C1302" s="3">
        <v>37.549999999999997</v>
      </c>
      <c r="D1302" s="3">
        <v>126.95</v>
      </c>
      <c r="E1302" t="s">
        <v>12</v>
      </c>
      <c r="F1302" t="s">
        <v>21</v>
      </c>
      <c r="G1302" t="s">
        <v>106</v>
      </c>
      <c r="I1302" t="s">
        <v>12</v>
      </c>
      <c r="J1302" t="s">
        <v>12</v>
      </c>
      <c r="K1302" t="s">
        <v>15</v>
      </c>
      <c r="L1302" t="s">
        <v>367</v>
      </c>
      <c r="M1302" t="s">
        <v>1015</v>
      </c>
      <c r="O1302">
        <v>31.1</v>
      </c>
      <c r="P1302">
        <v>31</v>
      </c>
      <c r="EP1302">
        <v>1</v>
      </c>
    </row>
    <row r="1303" spans="1:208" x14ac:dyDescent="0.25">
      <c r="A1303" t="s">
        <v>268</v>
      </c>
      <c r="B1303" t="s">
        <v>269</v>
      </c>
      <c r="C1303" s="3">
        <v>37.549999999999997</v>
      </c>
      <c r="D1303" s="3">
        <v>126.95</v>
      </c>
      <c r="E1303" t="s">
        <v>12</v>
      </c>
      <c r="F1303" t="s">
        <v>21</v>
      </c>
      <c r="G1303" t="s">
        <v>106</v>
      </c>
      <c r="I1303" t="s">
        <v>12</v>
      </c>
      <c r="J1303" t="s">
        <v>12</v>
      </c>
      <c r="K1303" t="s">
        <v>15</v>
      </c>
      <c r="L1303" t="s">
        <v>367</v>
      </c>
      <c r="M1303" t="s">
        <v>1015</v>
      </c>
      <c r="O1303">
        <v>42.7</v>
      </c>
      <c r="P1303">
        <v>21.4</v>
      </c>
      <c r="ER1303">
        <v>1</v>
      </c>
    </row>
    <row r="1304" spans="1:208" x14ac:dyDescent="0.25">
      <c r="A1304" t="s">
        <v>268</v>
      </c>
      <c r="B1304" t="s">
        <v>269</v>
      </c>
      <c r="C1304" s="3">
        <v>37.549999999999997</v>
      </c>
      <c r="D1304" s="3">
        <v>126.95</v>
      </c>
      <c r="E1304" t="s">
        <v>12</v>
      </c>
      <c r="F1304" t="s">
        <v>21</v>
      </c>
      <c r="G1304" t="s">
        <v>106</v>
      </c>
      <c r="I1304" t="s">
        <v>12</v>
      </c>
      <c r="J1304" t="s">
        <v>12</v>
      </c>
      <c r="K1304" t="s">
        <v>15</v>
      </c>
      <c r="L1304" t="s">
        <v>367</v>
      </c>
      <c r="M1304" t="s">
        <v>1015</v>
      </c>
      <c r="O1304">
        <v>40.4</v>
      </c>
      <c r="P1304">
        <v>18.8</v>
      </c>
      <c r="ET1304">
        <v>1</v>
      </c>
    </row>
    <row r="1305" spans="1:208" x14ac:dyDescent="0.25">
      <c r="A1305" t="s">
        <v>268</v>
      </c>
      <c r="B1305" t="s">
        <v>269</v>
      </c>
      <c r="C1305" s="3">
        <f>37+32.4/60</f>
        <v>37.54</v>
      </c>
      <c r="D1305" s="3">
        <f>127+5.44/60</f>
        <v>127.09066666666666</v>
      </c>
      <c r="E1305" t="s">
        <v>15</v>
      </c>
      <c r="F1305" t="s">
        <v>77</v>
      </c>
      <c r="G1305" t="s">
        <v>214</v>
      </c>
      <c r="I1305" t="s">
        <v>15</v>
      </c>
      <c r="J1305" t="s">
        <v>15</v>
      </c>
      <c r="K1305" t="s">
        <v>12</v>
      </c>
      <c r="L1305" t="s">
        <v>270</v>
      </c>
      <c r="M1305" t="s">
        <v>1056</v>
      </c>
      <c r="O1305">
        <v>25.5</v>
      </c>
      <c r="P1305">
        <v>15.4</v>
      </c>
      <c r="GQ1305">
        <v>1</v>
      </c>
      <c r="GR1305">
        <v>1</v>
      </c>
      <c r="GS1305">
        <v>1</v>
      </c>
    </row>
    <row r="1306" spans="1:208" x14ac:dyDescent="0.25">
      <c r="A1306" t="s">
        <v>268</v>
      </c>
      <c r="B1306" t="s">
        <v>269</v>
      </c>
      <c r="C1306" s="3">
        <f>37+32.4/60</f>
        <v>37.54</v>
      </c>
      <c r="D1306" s="3">
        <f>127+5.44/60</f>
        <v>127.09066666666666</v>
      </c>
      <c r="E1306" t="s">
        <v>15</v>
      </c>
      <c r="F1306" t="s">
        <v>77</v>
      </c>
      <c r="G1306" t="s">
        <v>214</v>
      </c>
      <c r="I1306" t="s">
        <v>15</v>
      </c>
      <c r="J1306" t="s">
        <v>15</v>
      </c>
      <c r="K1306" t="s">
        <v>12</v>
      </c>
      <c r="L1306" t="s">
        <v>270</v>
      </c>
      <c r="M1306" t="s">
        <v>1056</v>
      </c>
      <c r="O1306">
        <v>22.4</v>
      </c>
      <c r="P1306">
        <v>17.3</v>
      </c>
      <c r="GT1306">
        <v>1</v>
      </c>
      <c r="GU1306">
        <v>1</v>
      </c>
      <c r="GV1306">
        <v>1</v>
      </c>
    </row>
    <row r="1307" spans="1:208" x14ac:dyDescent="0.25">
      <c r="A1307" t="s">
        <v>268</v>
      </c>
      <c r="B1307" t="s">
        <v>269</v>
      </c>
      <c r="C1307" s="3">
        <f>37+32.4/60</f>
        <v>37.54</v>
      </c>
      <c r="D1307" s="3">
        <f>127+5.44/60</f>
        <v>127.09066666666666</v>
      </c>
      <c r="E1307" t="s">
        <v>15</v>
      </c>
      <c r="F1307" t="s">
        <v>77</v>
      </c>
      <c r="G1307" t="s">
        <v>214</v>
      </c>
      <c r="I1307" t="s">
        <v>15</v>
      </c>
      <c r="J1307" t="s">
        <v>15</v>
      </c>
      <c r="K1307" t="s">
        <v>12</v>
      </c>
      <c r="L1307" t="s">
        <v>270</v>
      </c>
      <c r="M1307" t="s">
        <v>1056</v>
      </c>
      <c r="O1307">
        <v>23.5</v>
      </c>
      <c r="P1307">
        <v>23.9</v>
      </c>
      <c r="GW1307">
        <v>1</v>
      </c>
      <c r="GX1307">
        <v>1</v>
      </c>
      <c r="GY1307">
        <v>1</v>
      </c>
    </row>
    <row r="1308" spans="1:208" x14ac:dyDescent="0.25">
      <c r="A1308" t="s">
        <v>268</v>
      </c>
      <c r="B1308" t="s">
        <v>269</v>
      </c>
      <c r="C1308" s="3">
        <f>37+32.4/60</f>
        <v>37.54</v>
      </c>
      <c r="D1308" s="3">
        <f>127+5.44/60</f>
        <v>127.09066666666666</v>
      </c>
      <c r="E1308" t="s">
        <v>15</v>
      </c>
      <c r="F1308" t="s">
        <v>77</v>
      </c>
      <c r="G1308" t="s">
        <v>214</v>
      </c>
      <c r="I1308" t="s">
        <v>15</v>
      </c>
      <c r="J1308" t="s">
        <v>15</v>
      </c>
      <c r="K1308" t="s">
        <v>12</v>
      </c>
      <c r="L1308" t="s">
        <v>270</v>
      </c>
      <c r="M1308" t="s">
        <v>1056</v>
      </c>
      <c r="O1308">
        <v>29.3</v>
      </c>
      <c r="P1308">
        <v>17.5</v>
      </c>
      <c r="GO1308">
        <v>1</v>
      </c>
      <c r="GP1308">
        <v>1</v>
      </c>
      <c r="GZ1308">
        <v>1</v>
      </c>
    </row>
    <row r="1309" spans="1:208" x14ac:dyDescent="0.25">
      <c r="A1309" t="s">
        <v>371</v>
      </c>
      <c r="B1309" t="s">
        <v>269</v>
      </c>
      <c r="C1309" s="3">
        <f>37+21/60+9/3600</f>
        <v>37.352499999999999</v>
      </c>
      <c r="D1309" s="3">
        <f>126+43/60+40/3600</f>
        <v>126.72777777777777</v>
      </c>
      <c r="E1309" t="s">
        <v>15</v>
      </c>
      <c r="F1309" t="s">
        <v>21</v>
      </c>
      <c r="G1309" t="s">
        <v>97</v>
      </c>
      <c r="I1309" t="s">
        <v>15</v>
      </c>
      <c r="J1309" t="s">
        <v>12</v>
      </c>
      <c r="K1309" t="s">
        <v>12</v>
      </c>
      <c r="L1309" t="s">
        <v>373</v>
      </c>
      <c r="M1309" t="s">
        <v>1011</v>
      </c>
      <c r="O1309">
        <v>25.1</v>
      </c>
      <c r="P1309">
        <v>11.4</v>
      </c>
      <c r="BB1309">
        <v>0.5</v>
      </c>
    </row>
    <row r="1310" spans="1:208" x14ac:dyDescent="0.25">
      <c r="A1310" t="s">
        <v>371</v>
      </c>
      <c r="B1310" t="s">
        <v>269</v>
      </c>
      <c r="C1310" s="3">
        <f>37+21/60+9/3600</f>
        <v>37.352499999999999</v>
      </c>
      <c r="D1310" s="3">
        <f>126+43/60+40/3600</f>
        <v>126.72777777777777</v>
      </c>
      <c r="E1310" t="s">
        <v>15</v>
      </c>
      <c r="F1310" t="s">
        <v>21</v>
      </c>
      <c r="G1310" t="s">
        <v>97</v>
      </c>
      <c r="I1310" t="s">
        <v>15</v>
      </c>
      <c r="J1310" t="s">
        <v>12</v>
      </c>
      <c r="K1310" t="s">
        <v>12</v>
      </c>
      <c r="L1310" t="s">
        <v>373</v>
      </c>
      <c r="M1310" t="s">
        <v>1011</v>
      </c>
      <c r="O1310">
        <v>29.1</v>
      </c>
      <c r="P1310">
        <v>9.8000000000000007</v>
      </c>
      <c r="BF1310">
        <v>0.5</v>
      </c>
    </row>
    <row r="1311" spans="1:208" x14ac:dyDescent="0.25">
      <c r="A1311" t="s">
        <v>371</v>
      </c>
      <c r="B1311" t="s">
        <v>269</v>
      </c>
      <c r="C1311" s="3">
        <f>37+21/60+9/3600</f>
        <v>37.352499999999999</v>
      </c>
      <c r="D1311" s="3">
        <f>126+43/60+40/3600</f>
        <v>126.72777777777777</v>
      </c>
      <c r="E1311" t="s">
        <v>15</v>
      </c>
      <c r="F1311" t="s">
        <v>21</v>
      </c>
      <c r="G1311" t="s">
        <v>97</v>
      </c>
      <c r="I1311" t="s">
        <v>15</v>
      </c>
      <c r="J1311" t="s">
        <v>12</v>
      </c>
      <c r="K1311" t="s">
        <v>12</v>
      </c>
      <c r="L1311" t="s">
        <v>373</v>
      </c>
      <c r="M1311" t="s">
        <v>1011</v>
      </c>
      <c r="O1311">
        <v>29.6</v>
      </c>
      <c r="P1311">
        <v>9.6</v>
      </c>
      <c r="BH1311">
        <v>0.25</v>
      </c>
      <c r="BI1311">
        <v>0.25</v>
      </c>
    </row>
    <row r="1312" spans="1:208" x14ac:dyDescent="0.25">
      <c r="A1312" t="s">
        <v>371</v>
      </c>
      <c r="B1312" t="s">
        <v>269</v>
      </c>
      <c r="C1312" s="3">
        <f>37+21/60+9/3600</f>
        <v>37.352499999999999</v>
      </c>
      <c r="D1312" s="3">
        <f>126+43/60+40/3600</f>
        <v>126.72777777777777</v>
      </c>
      <c r="E1312" t="s">
        <v>15</v>
      </c>
      <c r="F1312" t="s">
        <v>21</v>
      </c>
      <c r="G1312" t="s">
        <v>97</v>
      </c>
      <c r="I1312" t="s">
        <v>15</v>
      </c>
      <c r="J1312" t="s">
        <v>12</v>
      </c>
      <c r="K1312" t="s">
        <v>12</v>
      </c>
      <c r="L1312" t="s">
        <v>373</v>
      </c>
      <c r="M1312" t="s">
        <v>1011</v>
      </c>
      <c r="O1312">
        <v>48.5</v>
      </c>
      <c r="P1312">
        <v>32.5</v>
      </c>
      <c r="BK1312">
        <v>0.25</v>
      </c>
      <c r="BL1312">
        <v>0.25</v>
      </c>
    </row>
    <row r="1313" spans="1:180" x14ac:dyDescent="0.25">
      <c r="A1313" t="s">
        <v>371</v>
      </c>
      <c r="B1313" t="s">
        <v>269</v>
      </c>
      <c r="C1313" s="3">
        <f>37+21/60+9/3600</f>
        <v>37.352499999999999</v>
      </c>
      <c r="D1313" s="3">
        <f>126+43/60+40/3600</f>
        <v>126.72777777777777</v>
      </c>
      <c r="E1313" t="s">
        <v>15</v>
      </c>
      <c r="F1313" t="s">
        <v>21</v>
      </c>
      <c r="G1313" t="s">
        <v>97</v>
      </c>
      <c r="I1313" t="s">
        <v>15</v>
      </c>
      <c r="J1313" t="s">
        <v>12</v>
      </c>
      <c r="K1313" t="s">
        <v>12</v>
      </c>
      <c r="L1313" t="s">
        <v>373</v>
      </c>
      <c r="M1313" t="s">
        <v>1011</v>
      </c>
      <c r="O1313">
        <v>42.3</v>
      </c>
      <c r="P1313">
        <v>19.2</v>
      </c>
      <c r="BM1313">
        <v>0.25</v>
      </c>
      <c r="BN1313">
        <v>0.25</v>
      </c>
    </row>
    <row r="1314" spans="1:180" x14ac:dyDescent="0.25">
      <c r="A1314" t="s">
        <v>384</v>
      </c>
      <c r="B1314" t="s">
        <v>269</v>
      </c>
      <c r="C1314" s="3">
        <f>37+14/60</f>
        <v>37.233333333333334</v>
      </c>
      <c r="D1314" s="3">
        <f>127+4/60</f>
        <v>127.06666666666666</v>
      </c>
      <c r="E1314" t="s">
        <v>15</v>
      </c>
      <c r="F1314" t="s">
        <v>77</v>
      </c>
      <c r="G1314" t="s">
        <v>106</v>
      </c>
      <c r="I1314" t="s">
        <v>12</v>
      </c>
      <c r="J1314" t="s">
        <v>15</v>
      </c>
      <c r="K1314" t="s">
        <v>15</v>
      </c>
      <c r="L1314" t="s">
        <v>382</v>
      </c>
      <c r="M1314" t="s">
        <v>1005</v>
      </c>
      <c r="N1314" t="s">
        <v>383</v>
      </c>
      <c r="O1314">
        <v>25</v>
      </c>
      <c r="P1314">
        <v>3.5</v>
      </c>
      <c r="EO1314">
        <v>1</v>
      </c>
      <c r="EP1314">
        <v>1</v>
      </c>
      <c r="EQ1314">
        <v>1</v>
      </c>
      <c r="ER1314">
        <v>1</v>
      </c>
      <c r="ES1314">
        <v>1</v>
      </c>
      <c r="ET1314">
        <v>1</v>
      </c>
      <c r="EU1314">
        <v>1</v>
      </c>
      <c r="EV1314">
        <v>1</v>
      </c>
      <c r="EW1314">
        <v>1</v>
      </c>
      <c r="EX1314">
        <v>1</v>
      </c>
      <c r="EY1314">
        <v>1</v>
      </c>
      <c r="EZ1314">
        <v>1</v>
      </c>
      <c r="FA1314">
        <v>1</v>
      </c>
      <c r="FB1314">
        <v>1</v>
      </c>
      <c r="FC1314">
        <v>1</v>
      </c>
      <c r="FD1314">
        <v>1</v>
      </c>
      <c r="FE1314">
        <v>1</v>
      </c>
      <c r="FF1314">
        <v>1</v>
      </c>
      <c r="FG1314">
        <v>1</v>
      </c>
      <c r="FH1314">
        <v>1</v>
      </c>
      <c r="FI1314">
        <v>1</v>
      </c>
      <c r="FJ1314">
        <v>1</v>
      </c>
      <c r="FK1314">
        <v>1</v>
      </c>
      <c r="FL1314">
        <v>1</v>
      </c>
    </row>
    <row r="1315" spans="1:180" x14ac:dyDescent="0.25">
      <c r="A1315" t="s">
        <v>580</v>
      </c>
      <c r="B1315" t="s">
        <v>269</v>
      </c>
      <c r="C1315" s="3">
        <f>36+30.6/60</f>
        <v>36.51</v>
      </c>
      <c r="D1315" s="3">
        <f>126+42/60</f>
        <v>126.7</v>
      </c>
      <c r="E1315" t="s">
        <v>15</v>
      </c>
      <c r="F1315" t="s">
        <v>20</v>
      </c>
      <c r="G1315" t="s">
        <v>97</v>
      </c>
      <c r="I1315" t="s">
        <v>12</v>
      </c>
      <c r="J1315" t="s">
        <v>15</v>
      </c>
      <c r="K1315" t="s">
        <v>12</v>
      </c>
      <c r="L1315" t="s">
        <v>579</v>
      </c>
      <c r="M1315" t="s">
        <v>893</v>
      </c>
      <c r="O1315">
        <v>22.4</v>
      </c>
      <c r="BC1315">
        <v>1</v>
      </c>
      <c r="BD1315">
        <v>1</v>
      </c>
      <c r="BE1315">
        <v>1</v>
      </c>
      <c r="BK1315">
        <v>1</v>
      </c>
      <c r="BL1315">
        <v>1</v>
      </c>
      <c r="BM1315">
        <v>1</v>
      </c>
      <c r="BN1315">
        <v>1</v>
      </c>
      <c r="BO1315">
        <v>1</v>
      </c>
      <c r="BP1315">
        <v>1</v>
      </c>
      <c r="BQ1315">
        <v>1</v>
      </c>
      <c r="BR1315">
        <v>1</v>
      </c>
    </row>
    <row r="1316" spans="1:180" x14ac:dyDescent="0.25">
      <c r="A1316" t="s">
        <v>484</v>
      </c>
      <c r="B1316" t="s">
        <v>269</v>
      </c>
      <c r="C1316" s="3">
        <f>37+13/60</f>
        <v>37.216666666666669</v>
      </c>
      <c r="D1316" s="3">
        <f>126+9/60</f>
        <v>126.15</v>
      </c>
      <c r="E1316" t="s">
        <v>15</v>
      </c>
      <c r="F1316" t="s">
        <v>20</v>
      </c>
      <c r="G1316" t="s">
        <v>106</v>
      </c>
      <c r="I1316" t="s">
        <v>12</v>
      </c>
      <c r="J1316" t="s">
        <v>15</v>
      </c>
      <c r="K1316" t="s">
        <v>15</v>
      </c>
      <c r="L1316" t="s">
        <v>483</v>
      </c>
      <c r="M1316" t="s">
        <v>955</v>
      </c>
      <c r="O1316">
        <v>18.7</v>
      </c>
      <c r="P1316">
        <v>10.1</v>
      </c>
      <c r="BP1316">
        <v>1</v>
      </c>
      <c r="BQ1316">
        <v>1</v>
      </c>
      <c r="BR1316">
        <v>1</v>
      </c>
      <c r="BS1316">
        <v>1</v>
      </c>
      <c r="BT1316">
        <v>1</v>
      </c>
      <c r="BU1316">
        <v>1</v>
      </c>
      <c r="BV1316">
        <v>1</v>
      </c>
      <c r="BW1316">
        <v>1</v>
      </c>
      <c r="BX1316">
        <v>1</v>
      </c>
      <c r="BY1316">
        <v>1</v>
      </c>
      <c r="BZ1316">
        <v>1</v>
      </c>
      <c r="CA1316">
        <v>1</v>
      </c>
    </row>
    <row r="1317" spans="1:180" x14ac:dyDescent="0.25">
      <c r="A1317" t="s">
        <v>393</v>
      </c>
      <c r="B1317" t="s">
        <v>269</v>
      </c>
      <c r="C1317" s="3">
        <v>35.53</v>
      </c>
      <c r="D1317" s="3">
        <v>129.31</v>
      </c>
      <c r="E1317" t="s">
        <v>12</v>
      </c>
      <c r="F1317" t="s">
        <v>77</v>
      </c>
      <c r="G1317" t="s">
        <v>97</v>
      </c>
      <c r="I1317" t="s">
        <v>12</v>
      </c>
      <c r="J1317" t="s">
        <v>15</v>
      </c>
      <c r="K1317" t="s">
        <v>12</v>
      </c>
      <c r="L1317" t="s">
        <v>594</v>
      </c>
      <c r="M1317" t="s">
        <v>885</v>
      </c>
      <c r="O1317">
        <v>33.299999999999997</v>
      </c>
      <c r="P1317">
        <v>9.1999999999999993</v>
      </c>
      <c r="DF1317">
        <v>0.25</v>
      </c>
    </row>
    <row r="1318" spans="1:180" x14ac:dyDescent="0.25">
      <c r="A1318" t="s">
        <v>393</v>
      </c>
      <c r="B1318" t="s">
        <v>269</v>
      </c>
      <c r="C1318" s="3">
        <v>35.53</v>
      </c>
      <c r="D1318" s="3">
        <v>129.31</v>
      </c>
      <c r="E1318" t="s">
        <v>12</v>
      </c>
      <c r="F1318" t="s">
        <v>77</v>
      </c>
      <c r="G1318" t="s">
        <v>97</v>
      </c>
      <c r="I1318" t="s">
        <v>12</v>
      </c>
      <c r="J1318" t="s">
        <v>15</v>
      </c>
      <c r="K1318" t="s">
        <v>12</v>
      </c>
      <c r="L1318" t="s">
        <v>594</v>
      </c>
      <c r="M1318" t="s">
        <v>885</v>
      </c>
      <c r="O1318">
        <v>63.9</v>
      </c>
      <c r="P1318">
        <v>24.2</v>
      </c>
      <c r="DJ1318">
        <v>0.25</v>
      </c>
    </row>
    <row r="1319" spans="1:180" x14ac:dyDescent="0.25">
      <c r="A1319" t="s">
        <v>393</v>
      </c>
      <c r="B1319" t="s">
        <v>269</v>
      </c>
      <c r="C1319" s="3">
        <v>35.53</v>
      </c>
      <c r="D1319" s="3">
        <v>129.31</v>
      </c>
      <c r="E1319" t="s">
        <v>12</v>
      </c>
      <c r="F1319" t="s">
        <v>77</v>
      </c>
      <c r="G1319" t="s">
        <v>97</v>
      </c>
      <c r="I1319" t="s">
        <v>12</v>
      </c>
      <c r="J1319" t="s">
        <v>15</v>
      </c>
      <c r="K1319" t="s">
        <v>12</v>
      </c>
      <c r="L1319" t="s">
        <v>594</v>
      </c>
      <c r="M1319" t="s">
        <v>885</v>
      </c>
      <c r="O1319">
        <v>80.3</v>
      </c>
      <c r="P1319">
        <v>15.1</v>
      </c>
      <c r="DM1319">
        <v>0.25</v>
      </c>
    </row>
    <row r="1320" spans="1:180" x14ac:dyDescent="0.25">
      <c r="A1320" t="s">
        <v>393</v>
      </c>
      <c r="B1320" t="s">
        <v>269</v>
      </c>
      <c r="C1320" s="3">
        <v>35.53</v>
      </c>
      <c r="D1320" s="3">
        <v>129.31</v>
      </c>
      <c r="E1320" t="s">
        <v>12</v>
      </c>
      <c r="F1320" t="s">
        <v>77</v>
      </c>
      <c r="G1320" t="s">
        <v>97</v>
      </c>
      <c r="I1320" t="s">
        <v>12</v>
      </c>
      <c r="J1320" t="s">
        <v>15</v>
      </c>
      <c r="K1320" t="s">
        <v>12</v>
      </c>
      <c r="L1320" t="s">
        <v>594</v>
      </c>
      <c r="M1320" t="s">
        <v>885</v>
      </c>
      <c r="O1320">
        <v>25.7</v>
      </c>
      <c r="P1320">
        <v>8.9</v>
      </c>
      <c r="DP1320">
        <v>0.25</v>
      </c>
    </row>
    <row r="1321" spans="1:180" x14ac:dyDescent="0.25">
      <c r="A1321" t="s">
        <v>393</v>
      </c>
      <c r="B1321" t="s">
        <v>269</v>
      </c>
      <c r="C1321" s="3">
        <v>35.53</v>
      </c>
      <c r="D1321" s="3">
        <v>129.31</v>
      </c>
      <c r="E1321" t="s">
        <v>12</v>
      </c>
      <c r="F1321" t="s">
        <v>77</v>
      </c>
      <c r="G1321" t="s">
        <v>97</v>
      </c>
      <c r="I1321" t="s">
        <v>12</v>
      </c>
      <c r="J1321" t="s">
        <v>15</v>
      </c>
      <c r="K1321" t="s">
        <v>12</v>
      </c>
      <c r="L1321" t="s">
        <v>594</v>
      </c>
      <c r="M1321" t="s">
        <v>885</v>
      </c>
      <c r="O1321">
        <v>20.7</v>
      </c>
      <c r="P1321">
        <v>5.5</v>
      </c>
      <c r="DR1321">
        <v>0.25</v>
      </c>
    </row>
    <row r="1322" spans="1:180" x14ac:dyDescent="0.25">
      <c r="A1322" t="s">
        <v>393</v>
      </c>
      <c r="B1322" t="s">
        <v>269</v>
      </c>
      <c r="C1322" s="3">
        <v>35.53</v>
      </c>
      <c r="D1322" s="3">
        <v>129.31</v>
      </c>
      <c r="E1322" t="s">
        <v>12</v>
      </c>
      <c r="F1322" t="s">
        <v>77</v>
      </c>
      <c r="G1322" t="s">
        <v>97</v>
      </c>
      <c r="I1322" t="s">
        <v>12</v>
      </c>
      <c r="J1322" t="s">
        <v>15</v>
      </c>
      <c r="K1322" t="s">
        <v>12</v>
      </c>
      <c r="L1322" t="s">
        <v>594</v>
      </c>
      <c r="M1322" t="s">
        <v>885</v>
      </c>
      <c r="O1322">
        <v>11.8</v>
      </c>
      <c r="P1322">
        <v>4.0999999999999996</v>
      </c>
      <c r="DV1322">
        <v>0.25</v>
      </c>
    </row>
    <row r="1323" spans="1:180" x14ac:dyDescent="0.25">
      <c r="A1323" t="s">
        <v>393</v>
      </c>
      <c r="B1323" t="s">
        <v>269</v>
      </c>
      <c r="C1323" s="3">
        <v>35.549999999999997</v>
      </c>
      <c r="D1323" s="3">
        <v>129.26</v>
      </c>
      <c r="E1323" t="s">
        <v>34</v>
      </c>
      <c r="F1323" t="s">
        <v>34</v>
      </c>
      <c r="G1323" t="s">
        <v>106</v>
      </c>
      <c r="H1323">
        <v>45</v>
      </c>
      <c r="I1323" t="s">
        <v>12</v>
      </c>
      <c r="J1323" t="s">
        <v>12</v>
      </c>
      <c r="K1323" t="s">
        <v>15</v>
      </c>
      <c r="L1323" t="s">
        <v>575</v>
      </c>
      <c r="M1323" t="s">
        <v>898</v>
      </c>
      <c r="O1323">
        <v>36.5</v>
      </c>
      <c r="FT1323">
        <v>1</v>
      </c>
    </row>
    <row r="1324" spans="1:180" x14ac:dyDescent="0.25">
      <c r="A1324" t="s">
        <v>393</v>
      </c>
      <c r="B1324" t="s">
        <v>269</v>
      </c>
      <c r="C1324" s="3">
        <v>35.549999999999997</v>
      </c>
      <c r="D1324" s="3">
        <v>129.26</v>
      </c>
      <c r="E1324" t="s">
        <v>34</v>
      </c>
      <c r="F1324" t="s">
        <v>34</v>
      </c>
      <c r="G1324" t="s">
        <v>106</v>
      </c>
      <c r="H1324">
        <v>45</v>
      </c>
      <c r="I1324" t="s">
        <v>12</v>
      </c>
      <c r="J1324" t="s">
        <v>12</v>
      </c>
      <c r="K1324" t="s">
        <v>15</v>
      </c>
      <c r="L1324" t="s">
        <v>575</v>
      </c>
      <c r="M1324" t="s">
        <v>898</v>
      </c>
      <c r="O1324">
        <v>27.5</v>
      </c>
      <c r="FU1324">
        <v>1</v>
      </c>
    </row>
    <row r="1325" spans="1:180" x14ac:dyDescent="0.25">
      <c r="A1325" t="s">
        <v>393</v>
      </c>
      <c r="B1325" t="s">
        <v>269</v>
      </c>
      <c r="C1325" s="3">
        <v>35.549999999999997</v>
      </c>
      <c r="D1325" s="3">
        <v>129.26</v>
      </c>
      <c r="E1325" t="s">
        <v>34</v>
      </c>
      <c r="F1325" t="s">
        <v>34</v>
      </c>
      <c r="G1325" t="s">
        <v>106</v>
      </c>
      <c r="H1325">
        <v>45</v>
      </c>
      <c r="I1325" t="s">
        <v>12</v>
      </c>
      <c r="J1325" t="s">
        <v>12</v>
      </c>
      <c r="K1325" t="s">
        <v>15</v>
      </c>
      <c r="L1325" t="s">
        <v>575</v>
      </c>
      <c r="M1325" t="s">
        <v>898</v>
      </c>
      <c r="O1325">
        <v>18.2</v>
      </c>
      <c r="FV1325">
        <v>1</v>
      </c>
    </row>
    <row r="1326" spans="1:180" x14ac:dyDescent="0.25">
      <c r="A1326" t="s">
        <v>393</v>
      </c>
      <c r="B1326" t="s">
        <v>269</v>
      </c>
      <c r="C1326" s="3">
        <v>35.549999999999997</v>
      </c>
      <c r="D1326" s="3">
        <v>129.26</v>
      </c>
      <c r="E1326" t="s">
        <v>34</v>
      </c>
      <c r="F1326" t="s">
        <v>34</v>
      </c>
      <c r="G1326" t="s">
        <v>106</v>
      </c>
      <c r="H1326">
        <v>45</v>
      </c>
      <c r="I1326" t="s">
        <v>12</v>
      </c>
      <c r="J1326" t="s">
        <v>12</v>
      </c>
      <c r="K1326" t="s">
        <v>15</v>
      </c>
      <c r="L1326" t="s">
        <v>575</v>
      </c>
      <c r="M1326" t="s">
        <v>898</v>
      </c>
      <c r="O1326">
        <v>31.5</v>
      </c>
      <c r="FW1326">
        <v>1</v>
      </c>
    </row>
    <row r="1327" spans="1:180" x14ac:dyDescent="0.25">
      <c r="A1327" t="s">
        <v>393</v>
      </c>
      <c r="B1327" t="s">
        <v>269</v>
      </c>
      <c r="C1327" s="3">
        <v>35.549999999999997</v>
      </c>
      <c r="D1327" s="3">
        <v>129.26</v>
      </c>
      <c r="E1327" t="s">
        <v>34</v>
      </c>
      <c r="F1327" t="s">
        <v>34</v>
      </c>
      <c r="G1327" t="s">
        <v>106</v>
      </c>
      <c r="H1327">
        <v>45</v>
      </c>
      <c r="I1327" t="s">
        <v>12</v>
      </c>
      <c r="J1327" t="s">
        <v>12</v>
      </c>
      <c r="K1327" t="s">
        <v>15</v>
      </c>
      <c r="L1327" t="s">
        <v>575</v>
      </c>
      <c r="M1327" t="s">
        <v>898</v>
      </c>
      <c r="O1327">
        <v>17.2</v>
      </c>
      <c r="FX1327">
        <v>1</v>
      </c>
    </row>
    <row r="1328" spans="1:180" x14ac:dyDescent="0.25">
      <c r="A1328" t="s">
        <v>393</v>
      </c>
      <c r="B1328" t="s">
        <v>269</v>
      </c>
      <c r="C1328" s="3">
        <v>35.549999999999997</v>
      </c>
      <c r="D1328" s="3">
        <v>129.26</v>
      </c>
      <c r="E1328" t="s">
        <v>34</v>
      </c>
      <c r="F1328" t="s">
        <v>77</v>
      </c>
      <c r="G1328" t="s">
        <v>106</v>
      </c>
      <c r="H1328">
        <v>45</v>
      </c>
      <c r="I1328" t="s">
        <v>12</v>
      </c>
      <c r="J1328" t="s">
        <v>15</v>
      </c>
      <c r="K1328" t="s">
        <v>15</v>
      </c>
      <c r="L1328" t="s">
        <v>478</v>
      </c>
      <c r="M1328" t="s">
        <v>958</v>
      </c>
      <c r="O1328">
        <v>32.9</v>
      </c>
      <c r="FT1328">
        <v>1</v>
      </c>
      <c r="FU1328">
        <v>1</v>
      </c>
    </row>
    <row r="1329" spans="1:185" x14ac:dyDescent="0.25">
      <c r="A1329" t="s">
        <v>393</v>
      </c>
      <c r="B1329" t="s">
        <v>269</v>
      </c>
      <c r="C1329" s="3">
        <v>35.549999999999997</v>
      </c>
      <c r="D1329" s="3">
        <v>129.26</v>
      </c>
      <c r="E1329" t="s">
        <v>34</v>
      </c>
      <c r="F1329" t="s">
        <v>77</v>
      </c>
      <c r="G1329" t="s">
        <v>106</v>
      </c>
      <c r="H1329">
        <v>45</v>
      </c>
      <c r="I1329" t="s">
        <v>12</v>
      </c>
      <c r="J1329" t="s">
        <v>15</v>
      </c>
      <c r="K1329" t="s">
        <v>15</v>
      </c>
      <c r="L1329" t="s">
        <v>478</v>
      </c>
      <c r="M1329" t="s">
        <v>958</v>
      </c>
      <c r="O1329">
        <v>26.6</v>
      </c>
      <c r="FV1329">
        <v>1</v>
      </c>
      <c r="FW1329">
        <v>1</v>
      </c>
      <c r="FX1329">
        <v>1</v>
      </c>
    </row>
    <row r="1330" spans="1:185" x14ac:dyDescent="0.25">
      <c r="A1330" t="s">
        <v>393</v>
      </c>
      <c r="B1330" t="s">
        <v>269</v>
      </c>
      <c r="C1330" s="3">
        <v>35.549999999999997</v>
      </c>
      <c r="D1330" s="3">
        <v>129.26</v>
      </c>
      <c r="E1330" t="s">
        <v>34</v>
      </c>
      <c r="F1330" t="s">
        <v>77</v>
      </c>
      <c r="G1330" t="s">
        <v>106</v>
      </c>
      <c r="H1330">
        <v>45</v>
      </c>
      <c r="I1330" t="s">
        <v>12</v>
      </c>
      <c r="J1330" t="s">
        <v>15</v>
      </c>
      <c r="K1330" t="s">
        <v>15</v>
      </c>
      <c r="L1330" t="s">
        <v>478</v>
      </c>
      <c r="M1330" t="s">
        <v>958</v>
      </c>
      <c r="O1330">
        <v>31.8</v>
      </c>
      <c r="FY1330">
        <v>1</v>
      </c>
      <c r="FZ1330">
        <v>1</v>
      </c>
      <c r="GA1330">
        <v>1</v>
      </c>
    </row>
    <row r="1331" spans="1:185" x14ac:dyDescent="0.25">
      <c r="A1331" t="s">
        <v>393</v>
      </c>
      <c r="B1331" t="s">
        <v>269</v>
      </c>
      <c r="C1331" s="3">
        <v>35.549999999999997</v>
      </c>
      <c r="D1331" s="3">
        <v>129.26</v>
      </c>
      <c r="E1331" t="s">
        <v>34</v>
      </c>
      <c r="F1331" t="s">
        <v>77</v>
      </c>
      <c r="G1331" t="s">
        <v>106</v>
      </c>
      <c r="H1331">
        <v>45</v>
      </c>
      <c r="I1331" t="s">
        <v>12</v>
      </c>
      <c r="J1331" t="s">
        <v>15</v>
      </c>
      <c r="K1331" t="s">
        <v>15</v>
      </c>
      <c r="L1331" t="s">
        <v>478</v>
      </c>
      <c r="M1331" t="s">
        <v>958</v>
      </c>
      <c r="O1331">
        <v>29.3</v>
      </c>
      <c r="GB1331">
        <v>1</v>
      </c>
      <c r="GC1331">
        <v>1</v>
      </c>
    </row>
    <row r="1332" spans="1:185" x14ac:dyDescent="0.25">
      <c r="A1332" t="s">
        <v>393</v>
      </c>
      <c r="B1332" t="s">
        <v>269</v>
      </c>
      <c r="C1332" s="3">
        <v>35.54</v>
      </c>
      <c r="D1332" s="3">
        <v>129.26</v>
      </c>
      <c r="E1332" t="s">
        <v>34</v>
      </c>
      <c r="F1332" t="s">
        <v>34</v>
      </c>
      <c r="G1332" t="s">
        <v>106</v>
      </c>
      <c r="H1332">
        <v>45</v>
      </c>
      <c r="I1332" t="s">
        <v>12</v>
      </c>
      <c r="J1332" t="s">
        <v>12</v>
      </c>
      <c r="K1332" t="s">
        <v>15</v>
      </c>
      <c r="L1332" t="s">
        <v>394</v>
      </c>
      <c r="M1332" t="s">
        <v>1001</v>
      </c>
      <c r="O1332">
        <v>26.3</v>
      </c>
      <c r="FT1332">
        <v>1</v>
      </c>
      <c r="FU1332">
        <v>1</v>
      </c>
    </row>
    <row r="1333" spans="1:185" x14ac:dyDescent="0.25">
      <c r="A1333" t="s">
        <v>393</v>
      </c>
      <c r="B1333" t="s">
        <v>269</v>
      </c>
      <c r="C1333" s="3">
        <v>35.54</v>
      </c>
      <c r="D1333" s="3">
        <v>129.26</v>
      </c>
      <c r="E1333" t="s">
        <v>34</v>
      </c>
      <c r="F1333" t="s">
        <v>34</v>
      </c>
      <c r="G1333" t="s">
        <v>106</v>
      </c>
      <c r="H1333">
        <v>45</v>
      </c>
      <c r="I1333" t="s">
        <v>12</v>
      </c>
      <c r="J1333" t="s">
        <v>12</v>
      </c>
      <c r="K1333" t="s">
        <v>15</v>
      </c>
      <c r="L1333" t="s">
        <v>394</v>
      </c>
      <c r="M1333" t="s">
        <v>1001</v>
      </c>
      <c r="O1333">
        <v>22</v>
      </c>
      <c r="FV1333">
        <v>1</v>
      </c>
      <c r="FW1333">
        <v>1</v>
      </c>
      <c r="FX1333">
        <v>1</v>
      </c>
    </row>
    <row r="1334" spans="1:185" x14ac:dyDescent="0.25">
      <c r="A1334" t="s">
        <v>393</v>
      </c>
      <c r="B1334" t="s">
        <v>269</v>
      </c>
      <c r="C1334" s="3">
        <v>35.54</v>
      </c>
      <c r="D1334" s="3">
        <v>129.26</v>
      </c>
      <c r="E1334" t="s">
        <v>34</v>
      </c>
      <c r="F1334" t="s">
        <v>34</v>
      </c>
      <c r="G1334" t="s">
        <v>106</v>
      </c>
      <c r="H1334">
        <v>45</v>
      </c>
      <c r="I1334" t="s">
        <v>12</v>
      </c>
      <c r="J1334" t="s">
        <v>12</v>
      </c>
      <c r="K1334" t="s">
        <v>15</v>
      </c>
      <c r="L1334" t="s">
        <v>394</v>
      </c>
      <c r="M1334" t="s">
        <v>1001</v>
      </c>
      <c r="O1334">
        <v>24.6</v>
      </c>
      <c r="FY1334">
        <v>1</v>
      </c>
      <c r="FZ1334">
        <v>1</v>
      </c>
      <c r="GA1334">
        <v>1</v>
      </c>
    </row>
    <row r="1335" spans="1:185" x14ac:dyDescent="0.25">
      <c r="A1335" t="s">
        <v>393</v>
      </c>
      <c r="B1335" t="s">
        <v>269</v>
      </c>
      <c r="C1335" s="3">
        <v>35.54</v>
      </c>
      <c r="D1335" s="3">
        <v>129.26</v>
      </c>
      <c r="E1335" t="s">
        <v>34</v>
      </c>
      <c r="F1335" t="s">
        <v>34</v>
      </c>
      <c r="G1335" t="s">
        <v>106</v>
      </c>
      <c r="H1335">
        <v>45</v>
      </c>
      <c r="I1335" t="s">
        <v>12</v>
      </c>
      <c r="J1335" t="s">
        <v>12</v>
      </c>
      <c r="K1335" t="s">
        <v>15</v>
      </c>
      <c r="L1335" t="s">
        <v>394</v>
      </c>
      <c r="M1335" t="s">
        <v>1001</v>
      </c>
      <c r="O1335">
        <v>25.2</v>
      </c>
      <c r="GB1335">
        <v>1</v>
      </c>
      <c r="GC1335">
        <v>1</v>
      </c>
    </row>
    <row r="1336" spans="1:185" x14ac:dyDescent="0.25">
      <c r="A1336" t="s">
        <v>644</v>
      </c>
      <c r="B1336" t="s">
        <v>48</v>
      </c>
      <c r="C1336" s="3">
        <f>29+20/60+48/3600</f>
        <v>29.346666666666664</v>
      </c>
      <c r="D1336" s="3">
        <f>47+31/60+14/3600</f>
        <v>47.520555555555553</v>
      </c>
      <c r="E1336" t="s">
        <v>12</v>
      </c>
      <c r="F1336" t="s">
        <v>9</v>
      </c>
      <c r="G1336" t="s">
        <v>106</v>
      </c>
      <c r="I1336" t="s">
        <v>12</v>
      </c>
      <c r="J1336" t="s">
        <v>12</v>
      </c>
      <c r="K1336" t="s">
        <v>15</v>
      </c>
      <c r="L1336" t="s">
        <v>625</v>
      </c>
      <c r="M1336" t="s">
        <v>788</v>
      </c>
      <c r="O1336">
        <v>298</v>
      </c>
      <c r="EU1336">
        <v>0.5</v>
      </c>
      <c r="EV1336">
        <v>1</v>
      </c>
      <c r="EW1336">
        <v>1</v>
      </c>
      <c r="EX1336">
        <v>1</v>
      </c>
      <c r="EY1336">
        <v>1</v>
      </c>
      <c r="EZ1336">
        <v>1</v>
      </c>
      <c r="FA1336">
        <v>1</v>
      </c>
      <c r="FB1336">
        <v>1</v>
      </c>
      <c r="FC1336">
        <v>1</v>
      </c>
      <c r="FD1336">
        <v>1</v>
      </c>
      <c r="FE1336">
        <v>1</v>
      </c>
      <c r="FF1336">
        <v>1</v>
      </c>
      <c r="FG1336">
        <v>0.5</v>
      </c>
    </row>
    <row r="1337" spans="1:185" x14ac:dyDescent="0.25">
      <c r="A1337" t="s">
        <v>645</v>
      </c>
      <c r="B1337" t="s">
        <v>48</v>
      </c>
      <c r="C1337" s="3">
        <v>28.86</v>
      </c>
      <c r="D1337" s="3">
        <v>48.27</v>
      </c>
      <c r="E1337" t="s">
        <v>12</v>
      </c>
      <c r="F1337" t="s">
        <v>9</v>
      </c>
      <c r="G1337" t="s">
        <v>106</v>
      </c>
      <c r="I1337" t="s">
        <v>12</v>
      </c>
      <c r="J1337" t="s">
        <v>12</v>
      </c>
      <c r="K1337" t="s">
        <v>15</v>
      </c>
      <c r="L1337" t="s">
        <v>625</v>
      </c>
      <c r="M1337" t="s">
        <v>788</v>
      </c>
      <c r="O1337">
        <v>176</v>
      </c>
      <c r="ES1337">
        <v>0.5</v>
      </c>
      <c r="ET1337">
        <v>1</v>
      </c>
      <c r="EU1337">
        <v>1</v>
      </c>
      <c r="EV1337">
        <v>1</v>
      </c>
      <c r="EW1337">
        <v>1</v>
      </c>
      <c r="EX1337">
        <v>1</v>
      </c>
      <c r="EY1337">
        <v>1</v>
      </c>
      <c r="EZ1337">
        <v>1</v>
      </c>
      <c r="FA1337">
        <v>1</v>
      </c>
      <c r="FB1337">
        <v>1</v>
      </c>
      <c r="FC1337">
        <v>1</v>
      </c>
      <c r="FD1337">
        <v>1</v>
      </c>
      <c r="FE1337">
        <v>1</v>
      </c>
      <c r="FF1337">
        <v>1</v>
      </c>
      <c r="FG1337">
        <v>1</v>
      </c>
    </row>
    <row r="1338" spans="1:185" x14ac:dyDescent="0.25">
      <c r="A1338" t="s">
        <v>47</v>
      </c>
      <c r="B1338" t="s">
        <v>48</v>
      </c>
      <c r="C1338" s="3">
        <f>29+18/60</f>
        <v>29.3</v>
      </c>
      <c r="D1338" s="3">
        <f>48</f>
        <v>48</v>
      </c>
      <c r="E1338" t="s">
        <v>34</v>
      </c>
      <c r="F1338" t="s">
        <v>21</v>
      </c>
      <c r="G1338" t="s">
        <v>49</v>
      </c>
      <c r="I1338" t="s">
        <v>15</v>
      </c>
      <c r="J1338" t="s">
        <v>15</v>
      </c>
      <c r="K1338" t="s">
        <v>15</v>
      </c>
      <c r="L1338" t="s">
        <v>50</v>
      </c>
      <c r="M1338" t="s">
        <v>793</v>
      </c>
      <c r="O1338">
        <v>49</v>
      </c>
      <c r="EC1338">
        <v>1</v>
      </c>
      <c r="ED1338">
        <v>1</v>
      </c>
      <c r="EE1338">
        <v>1</v>
      </c>
      <c r="EO1338">
        <v>1</v>
      </c>
      <c r="EP1338">
        <v>1</v>
      </c>
    </row>
    <row r="1339" spans="1:185" x14ac:dyDescent="0.25">
      <c r="A1339" t="s">
        <v>47</v>
      </c>
      <c r="B1339" t="s">
        <v>48</v>
      </c>
      <c r="C1339" s="3">
        <f>29+18/60</f>
        <v>29.3</v>
      </c>
      <c r="D1339" s="3">
        <f>48</f>
        <v>48</v>
      </c>
      <c r="E1339" t="s">
        <v>34</v>
      </c>
      <c r="F1339" t="s">
        <v>21</v>
      </c>
      <c r="G1339" t="s">
        <v>49</v>
      </c>
      <c r="I1339" t="s">
        <v>15</v>
      </c>
      <c r="J1339" t="s">
        <v>15</v>
      </c>
      <c r="K1339" t="s">
        <v>15</v>
      </c>
      <c r="L1339" t="s">
        <v>50</v>
      </c>
      <c r="M1339" t="s">
        <v>793</v>
      </c>
      <c r="O1339">
        <v>29</v>
      </c>
      <c r="DV1339">
        <v>1</v>
      </c>
      <c r="EF1339">
        <v>1</v>
      </c>
      <c r="EG1339">
        <v>1</v>
      </c>
      <c r="EH1339">
        <v>1</v>
      </c>
    </row>
    <row r="1340" spans="1:185" x14ac:dyDescent="0.25">
      <c r="A1340" t="s">
        <v>47</v>
      </c>
      <c r="B1340" t="s">
        <v>48</v>
      </c>
      <c r="C1340" s="3">
        <f>29+18/60</f>
        <v>29.3</v>
      </c>
      <c r="D1340" s="3">
        <f>48</f>
        <v>48</v>
      </c>
      <c r="E1340" t="s">
        <v>34</v>
      </c>
      <c r="F1340" t="s">
        <v>21</v>
      </c>
      <c r="G1340" t="s">
        <v>49</v>
      </c>
      <c r="I1340" t="s">
        <v>15</v>
      </c>
      <c r="J1340" t="s">
        <v>15</v>
      </c>
      <c r="K1340" t="s">
        <v>15</v>
      </c>
      <c r="L1340" t="s">
        <v>50</v>
      </c>
      <c r="M1340" t="s">
        <v>793</v>
      </c>
      <c r="O1340">
        <v>58</v>
      </c>
      <c r="DW1340">
        <v>1</v>
      </c>
      <c r="DX1340">
        <v>1</v>
      </c>
      <c r="DY1340">
        <v>1</v>
      </c>
      <c r="EI1340">
        <v>1</v>
      </c>
      <c r="EJ1340">
        <v>1</v>
      </c>
      <c r="EK1340">
        <v>1</v>
      </c>
    </row>
    <row r="1341" spans="1:185" x14ac:dyDescent="0.25">
      <c r="A1341" t="s">
        <v>47</v>
      </c>
      <c r="B1341" t="s">
        <v>48</v>
      </c>
      <c r="C1341" s="3">
        <f>29+18/60</f>
        <v>29.3</v>
      </c>
      <c r="D1341" s="3">
        <f>48</f>
        <v>48</v>
      </c>
      <c r="E1341" t="s">
        <v>34</v>
      </c>
      <c r="F1341" t="s">
        <v>21</v>
      </c>
      <c r="G1341" t="s">
        <v>49</v>
      </c>
      <c r="I1341" t="s">
        <v>15</v>
      </c>
      <c r="J1341" t="s">
        <v>15</v>
      </c>
      <c r="K1341" t="s">
        <v>15</v>
      </c>
      <c r="L1341" t="s">
        <v>50</v>
      </c>
      <c r="M1341" t="s">
        <v>793</v>
      </c>
      <c r="O1341">
        <v>57</v>
      </c>
      <c r="DZ1341">
        <v>1</v>
      </c>
      <c r="EA1341">
        <v>1</v>
      </c>
      <c r="EB1341">
        <v>1</v>
      </c>
      <c r="EL1341">
        <v>1</v>
      </c>
      <c r="EM1341">
        <v>1</v>
      </c>
      <c r="EN1341">
        <v>1</v>
      </c>
    </row>
    <row r="1342" spans="1:185" x14ac:dyDescent="0.25">
      <c r="A1342" t="s">
        <v>47</v>
      </c>
      <c r="B1342" t="s">
        <v>48</v>
      </c>
      <c r="C1342" s="3">
        <v>29.34</v>
      </c>
      <c r="D1342" s="3">
        <v>48</v>
      </c>
      <c r="E1342" t="s">
        <v>15</v>
      </c>
      <c r="F1342" t="s">
        <v>20</v>
      </c>
      <c r="G1342" t="s">
        <v>715</v>
      </c>
      <c r="H1342">
        <v>40</v>
      </c>
      <c r="I1342" t="s">
        <v>15</v>
      </c>
      <c r="J1342" t="s">
        <v>15</v>
      </c>
      <c r="K1342" t="s">
        <v>12</v>
      </c>
      <c r="L1342" t="s">
        <v>760</v>
      </c>
      <c r="M1342" t="s">
        <v>818</v>
      </c>
      <c r="O1342">
        <v>30.8</v>
      </c>
      <c r="P1342">
        <v>16.600000000000001</v>
      </c>
      <c r="DV1342">
        <v>1</v>
      </c>
      <c r="DW1342">
        <v>1</v>
      </c>
      <c r="DX1342">
        <v>1</v>
      </c>
      <c r="DY1342">
        <v>1</v>
      </c>
      <c r="DZ1342">
        <v>1</v>
      </c>
      <c r="EA1342">
        <v>1</v>
      </c>
      <c r="EB1342">
        <v>1</v>
      </c>
      <c r="EC1342">
        <v>1</v>
      </c>
      <c r="ED1342">
        <v>1</v>
      </c>
      <c r="EE1342">
        <v>1</v>
      </c>
      <c r="EF1342">
        <v>1</v>
      </c>
      <c r="EG1342">
        <v>1</v>
      </c>
      <c r="EH1342">
        <v>1</v>
      </c>
      <c r="EI1342">
        <v>1</v>
      </c>
      <c r="EJ1342">
        <v>1</v>
      </c>
      <c r="EK1342">
        <v>1</v>
      </c>
      <c r="EL1342">
        <v>1</v>
      </c>
      <c r="EM1342">
        <v>1</v>
      </c>
    </row>
    <row r="1343" spans="1:185" x14ac:dyDescent="0.25">
      <c r="A1343" t="s">
        <v>47</v>
      </c>
      <c r="B1343" t="s">
        <v>48</v>
      </c>
      <c r="C1343" s="3">
        <v>29.65</v>
      </c>
      <c r="D1343" s="3">
        <v>47.67</v>
      </c>
      <c r="E1343" t="s">
        <v>15</v>
      </c>
      <c r="F1343" t="s">
        <v>77</v>
      </c>
      <c r="G1343" t="s">
        <v>715</v>
      </c>
      <c r="H1343">
        <v>40</v>
      </c>
      <c r="I1343" t="s">
        <v>15</v>
      </c>
      <c r="J1343" t="s">
        <v>15</v>
      </c>
      <c r="K1343" t="s">
        <v>12</v>
      </c>
      <c r="L1343" t="s">
        <v>760</v>
      </c>
      <c r="M1343" t="s">
        <v>818</v>
      </c>
      <c r="O1343">
        <v>37.6</v>
      </c>
      <c r="P1343">
        <v>17.3</v>
      </c>
      <c r="DV1343">
        <v>1</v>
      </c>
      <c r="DW1343">
        <v>1</v>
      </c>
      <c r="DX1343">
        <v>1</v>
      </c>
      <c r="DY1343">
        <v>1</v>
      </c>
      <c r="DZ1343">
        <v>1</v>
      </c>
      <c r="EA1343">
        <v>1</v>
      </c>
      <c r="EB1343">
        <v>1</v>
      </c>
      <c r="EC1343">
        <v>1</v>
      </c>
      <c r="ED1343">
        <v>1</v>
      </c>
      <c r="EE1343">
        <v>1</v>
      </c>
      <c r="EF1343">
        <v>1</v>
      </c>
      <c r="EG1343">
        <v>1</v>
      </c>
      <c r="EH1343">
        <v>1</v>
      </c>
    </row>
    <row r="1344" spans="1:185" x14ac:dyDescent="0.25">
      <c r="A1344" t="s">
        <v>47</v>
      </c>
      <c r="B1344" t="s">
        <v>48</v>
      </c>
      <c r="C1344" s="3">
        <v>28.89</v>
      </c>
      <c r="D1344" s="3">
        <v>48.11</v>
      </c>
      <c r="E1344" t="s">
        <v>15</v>
      </c>
      <c r="F1344" t="s">
        <v>77</v>
      </c>
      <c r="G1344" t="s">
        <v>715</v>
      </c>
      <c r="H1344">
        <v>40</v>
      </c>
      <c r="I1344" t="s">
        <v>15</v>
      </c>
      <c r="J1344" t="s">
        <v>15</v>
      </c>
      <c r="K1344" t="s">
        <v>12</v>
      </c>
      <c r="L1344" t="s">
        <v>760</v>
      </c>
      <c r="M1344" t="s">
        <v>818</v>
      </c>
      <c r="O1344">
        <v>36.5</v>
      </c>
      <c r="P1344">
        <v>18.2</v>
      </c>
      <c r="DV1344">
        <v>1</v>
      </c>
      <c r="DW1344">
        <v>1</v>
      </c>
      <c r="DX1344">
        <v>1</v>
      </c>
      <c r="DY1344">
        <v>1</v>
      </c>
      <c r="DZ1344">
        <v>1</v>
      </c>
      <c r="EA1344">
        <v>1</v>
      </c>
      <c r="EB1344">
        <v>1</v>
      </c>
      <c r="EC1344">
        <v>1</v>
      </c>
      <c r="ED1344">
        <v>1</v>
      </c>
      <c r="EE1344">
        <v>1</v>
      </c>
      <c r="EF1344">
        <v>1</v>
      </c>
      <c r="EG1344">
        <v>1</v>
      </c>
      <c r="EH1344">
        <v>1</v>
      </c>
      <c r="EI1344">
        <v>1</v>
      </c>
      <c r="EJ1344">
        <v>1</v>
      </c>
      <c r="EK1344">
        <v>1</v>
      </c>
      <c r="EL1344">
        <v>1</v>
      </c>
      <c r="EM1344">
        <v>1</v>
      </c>
    </row>
    <row r="1345" spans="1:191" x14ac:dyDescent="0.25">
      <c r="A1345" t="s">
        <v>643</v>
      </c>
      <c r="B1345" t="s">
        <v>48</v>
      </c>
      <c r="C1345" s="3">
        <v>30.05</v>
      </c>
      <c r="D1345" s="3">
        <v>47.46</v>
      </c>
      <c r="E1345" t="s">
        <v>12</v>
      </c>
      <c r="F1345" t="s">
        <v>9</v>
      </c>
      <c r="G1345" t="s">
        <v>106</v>
      </c>
      <c r="I1345" t="s">
        <v>12</v>
      </c>
      <c r="J1345" t="s">
        <v>12</v>
      </c>
      <c r="K1345" t="s">
        <v>15</v>
      </c>
      <c r="L1345" t="s">
        <v>625</v>
      </c>
      <c r="M1345" t="s">
        <v>788</v>
      </c>
      <c r="O1345">
        <v>211</v>
      </c>
      <c r="ET1345">
        <v>1</v>
      </c>
      <c r="EU1345">
        <v>1</v>
      </c>
      <c r="EV1345">
        <v>1</v>
      </c>
      <c r="EW1345">
        <v>1</v>
      </c>
      <c r="EX1345">
        <v>1</v>
      </c>
      <c r="EY1345">
        <v>1</v>
      </c>
      <c r="EZ1345">
        <v>1</v>
      </c>
      <c r="FA1345">
        <v>1</v>
      </c>
      <c r="FB1345">
        <v>1</v>
      </c>
      <c r="FC1345">
        <v>1</v>
      </c>
      <c r="FD1345">
        <v>1</v>
      </c>
      <c r="FE1345">
        <v>1</v>
      </c>
    </row>
    <row r="1346" spans="1:191" x14ac:dyDescent="0.25">
      <c r="A1346" t="s">
        <v>647</v>
      </c>
      <c r="B1346" t="s">
        <v>48</v>
      </c>
      <c r="C1346" s="3">
        <v>28.65</v>
      </c>
      <c r="D1346" s="3">
        <v>48.08</v>
      </c>
      <c r="E1346" t="s">
        <v>12</v>
      </c>
      <c r="F1346" t="s">
        <v>9</v>
      </c>
      <c r="G1346" t="s">
        <v>106</v>
      </c>
      <c r="I1346" t="s">
        <v>12</v>
      </c>
      <c r="J1346" t="s">
        <v>12</v>
      </c>
      <c r="K1346" t="s">
        <v>15</v>
      </c>
      <c r="L1346" t="s">
        <v>625</v>
      </c>
      <c r="M1346" t="s">
        <v>788</v>
      </c>
      <c r="O1346">
        <v>199</v>
      </c>
      <c r="ES1346">
        <v>0.5</v>
      </c>
      <c r="ET1346">
        <v>1</v>
      </c>
      <c r="EU1346">
        <v>1</v>
      </c>
      <c r="EV1346">
        <v>1</v>
      </c>
      <c r="EW1346">
        <v>1</v>
      </c>
      <c r="EX1346">
        <v>1</v>
      </c>
      <c r="EY1346">
        <v>1</v>
      </c>
      <c r="EZ1346">
        <v>1</v>
      </c>
      <c r="FA1346">
        <v>1</v>
      </c>
      <c r="FB1346">
        <v>1</v>
      </c>
      <c r="FC1346">
        <v>1</v>
      </c>
      <c r="FD1346">
        <v>1</v>
      </c>
      <c r="FE1346">
        <v>0.5</v>
      </c>
    </row>
    <row r="1347" spans="1:191" x14ac:dyDescent="0.25">
      <c r="A1347" t="s">
        <v>431</v>
      </c>
      <c r="B1347" t="s">
        <v>432</v>
      </c>
      <c r="C1347" s="3">
        <v>42.68</v>
      </c>
      <c r="D1347" s="3">
        <v>74.69</v>
      </c>
      <c r="E1347" t="s">
        <v>15</v>
      </c>
      <c r="F1347" t="s">
        <v>20</v>
      </c>
      <c r="G1347" t="s">
        <v>731</v>
      </c>
      <c r="I1347" t="s">
        <v>12</v>
      </c>
      <c r="J1347" t="s">
        <v>12</v>
      </c>
      <c r="K1347" t="s">
        <v>12</v>
      </c>
      <c r="L1347" t="s">
        <v>769</v>
      </c>
      <c r="M1347" t="s">
        <v>828</v>
      </c>
      <c r="O1347">
        <v>11.65</v>
      </c>
      <c r="P1347">
        <v>3.7</v>
      </c>
      <c r="FW1347">
        <v>1</v>
      </c>
      <c r="FX1347">
        <v>1</v>
      </c>
      <c r="FY1347">
        <v>1</v>
      </c>
      <c r="FZ1347">
        <v>1</v>
      </c>
      <c r="GA1347">
        <v>1</v>
      </c>
      <c r="GB1347">
        <v>1</v>
      </c>
      <c r="GC1347">
        <v>1</v>
      </c>
      <c r="GD1347">
        <v>1</v>
      </c>
      <c r="GE1347">
        <v>1</v>
      </c>
      <c r="GF1347">
        <v>1</v>
      </c>
      <c r="GG1347">
        <v>1</v>
      </c>
      <c r="GH1347">
        <v>1</v>
      </c>
      <c r="GI1347">
        <v>1</v>
      </c>
    </row>
    <row r="1348" spans="1:191" x14ac:dyDescent="0.25">
      <c r="A1348" t="s">
        <v>431</v>
      </c>
      <c r="B1348" t="s">
        <v>432</v>
      </c>
      <c r="C1348">
        <f t="shared" ref="C1348:C1360" si="32">42+40/60+47/3600</f>
        <v>42.679722222222217</v>
      </c>
      <c r="D1348" s="3">
        <f t="shared" ref="D1348:D1360" si="33">74+31/60+44.3/3600</f>
        <v>74.528972222222222</v>
      </c>
      <c r="E1348" t="s">
        <v>15</v>
      </c>
      <c r="F1348" t="s">
        <v>20</v>
      </c>
      <c r="G1348" t="s">
        <v>106</v>
      </c>
      <c r="H1348">
        <v>35</v>
      </c>
      <c r="I1348" t="s">
        <v>15</v>
      </c>
      <c r="J1348" t="s">
        <v>12</v>
      </c>
      <c r="K1348" t="s">
        <v>12</v>
      </c>
      <c r="L1348" t="s">
        <v>433</v>
      </c>
      <c r="M1348" t="s">
        <v>986</v>
      </c>
      <c r="O1348">
        <v>8.4600000000000009</v>
      </c>
      <c r="P1348">
        <v>0.88</v>
      </c>
      <c r="FW1348">
        <v>1</v>
      </c>
    </row>
    <row r="1349" spans="1:191" x14ac:dyDescent="0.25">
      <c r="A1349" t="s">
        <v>431</v>
      </c>
      <c r="B1349" t="s">
        <v>432</v>
      </c>
      <c r="C1349">
        <f t="shared" si="32"/>
        <v>42.679722222222217</v>
      </c>
      <c r="D1349" s="3">
        <f t="shared" si="33"/>
        <v>74.528972222222222</v>
      </c>
      <c r="E1349" t="s">
        <v>15</v>
      </c>
      <c r="F1349" t="s">
        <v>20</v>
      </c>
      <c r="G1349" t="s">
        <v>106</v>
      </c>
      <c r="H1349">
        <v>35</v>
      </c>
      <c r="I1349" t="s">
        <v>15</v>
      </c>
      <c r="J1349" t="s">
        <v>12</v>
      </c>
      <c r="K1349" t="s">
        <v>12</v>
      </c>
      <c r="L1349" t="s">
        <v>433</v>
      </c>
      <c r="M1349" t="s">
        <v>986</v>
      </c>
      <c r="O1349">
        <v>12.1</v>
      </c>
      <c r="P1349">
        <v>0.65</v>
      </c>
      <c r="FX1349">
        <v>1</v>
      </c>
    </row>
    <row r="1350" spans="1:191" x14ac:dyDescent="0.25">
      <c r="A1350" t="s">
        <v>431</v>
      </c>
      <c r="B1350" t="s">
        <v>432</v>
      </c>
      <c r="C1350">
        <f t="shared" si="32"/>
        <v>42.679722222222217</v>
      </c>
      <c r="D1350" s="3">
        <f t="shared" si="33"/>
        <v>74.528972222222222</v>
      </c>
      <c r="E1350" t="s">
        <v>15</v>
      </c>
      <c r="F1350" t="s">
        <v>20</v>
      </c>
      <c r="G1350" t="s">
        <v>106</v>
      </c>
      <c r="H1350">
        <v>35</v>
      </c>
      <c r="I1350" t="s">
        <v>15</v>
      </c>
      <c r="J1350" t="s">
        <v>12</v>
      </c>
      <c r="K1350" t="s">
        <v>12</v>
      </c>
      <c r="L1350" t="s">
        <v>433</v>
      </c>
      <c r="M1350" t="s">
        <v>986</v>
      </c>
      <c r="O1350">
        <v>13.7</v>
      </c>
      <c r="P1350">
        <v>0.83</v>
      </c>
      <c r="FY1350">
        <v>1</v>
      </c>
    </row>
    <row r="1351" spans="1:191" x14ac:dyDescent="0.25">
      <c r="A1351" t="s">
        <v>431</v>
      </c>
      <c r="B1351" t="s">
        <v>432</v>
      </c>
      <c r="C1351">
        <f t="shared" si="32"/>
        <v>42.679722222222217</v>
      </c>
      <c r="D1351" s="3">
        <f t="shared" si="33"/>
        <v>74.528972222222222</v>
      </c>
      <c r="E1351" t="s">
        <v>15</v>
      </c>
      <c r="F1351" t="s">
        <v>20</v>
      </c>
      <c r="G1351" t="s">
        <v>106</v>
      </c>
      <c r="H1351">
        <v>35</v>
      </c>
      <c r="I1351" t="s">
        <v>15</v>
      </c>
      <c r="J1351" t="s">
        <v>12</v>
      </c>
      <c r="K1351" t="s">
        <v>12</v>
      </c>
      <c r="L1351" t="s">
        <v>433</v>
      </c>
      <c r="M1351" t="s">
        <v>986</v>
      </c>
      <c r="O1351">
        <v>9.5500000000000007</v>
      </c>
      <c r="P1351">
        <v>1.69</v>
      </c>
      <c r="FZ1351">
        <v>1</v>
      </c>
    </row>
    <row r="1352" spans="1:191" x14ac:dyDescent="0.25">
      <c r="A1352" t="s">
        <v>431</v>
      </c>
      <c r="B1352" t="s">
        <v>432</v>
      </c>
      <c r="C1352">
        <f t="shared" si="32"/>
        <v>42.679722222222217</v>
      </c>
      <c r="D1352" s="3">
        <f t="shared" si="33"/>
        <v>74.528972222222222</v>
      </c>
      <c r="E1352" t="s">
        <v>15</v>
      </c>
      <c r="F1352" t="s">
        <v>20</v>
      </c>
      <c r="G1352" t="s">
        <v>106</v>
      </c>
      <c r="H1352">
        <v>35</v>
      </c>
      <c r="I1352" t="s">
        <v>15</v>
      </c>
      <c r="J1352" t="s">
        <v>12</v>
      </c>
      <c r="K1352" t="s">
        <v>12</v>
      </c>
      <c r="L1352" t="s">
        <v>433</v>
      </c>
      <c r="M1352" t="s">
        <v>986</v>
      </c>
      <c r="O1352">
        <v>9.0500000000000007</v>
      </c>
      <c r="P1352">
        <v>1.85</v>
      </c>
      <c r="GA1352">
        <v>1</v>
      </c>
    </row>
    <row r="1353" spans="1:191" x14ac:dyDescent="0.25">
      <c r="A1353" t="s">
        <v>431</v>
      </c>
      <c r="B1353" t="s">
        <v>432</v>
      </c>
      <c r="C1353">
        <f t="shared" si="32"/>
        <v>42.679722222222217</v>
      </c>
      <c r="D1353" s="3">
        <f t="shared" si="33"/>
        <v>74.528972222222222</v>
      </c>
      <c r="E1353" t="s">
        <v>15</v>
      </c>
      <c r="F1353" t="s">
        <v>20</v>
      </c>
      <c r="G1353" t="s">
        <v>106</v>
      </c>
      <c r="H1353">
        <v>35</v>
      </c>
      <c r="I1353" t="s">
        <v>15</v>
      </c>
      <c r="J1353" t="s">
        <v>12</v>
      </c>
      <c r="K1353" t="s">
        <v>12</v>
      </c>
      <c r="L1353" t="s">
        <v>433</v>
      </c>
      <c r="M1353" t="s">
        <v>986</v>
      </c>
      <c r="O1353">
        <v>7.61</v>
      </c>
      <c r="P1353">
        <v>1.31</v>
      </c>
      <c r="GB1353">
        <v>1</v>
      </c>
    </row>
    <row r="1354" spans="1:191" x14ac:dyDescent="0.25">
      <c r="A1354" t="s">
        <v>431</v>
      </c>
      <c r="B1354" t="s">
        <v>432</v>
      </c>
      <c r="C1354">
        <f t="shared" si="32"/>
        <v>42.679722222222217</v>
      </c>
      <c r="D1354" s="3">
        <f t="shared" si="33"/>
        <v>74.528972222222222</v>
      </c>
      <c r="E1354" t="s">
        <v>15</v>
      </c>
      <c r="F1354" t="s">
        <v>20</v>
      </c>
      <c r="G1354" t="s">
        <v>106</v>
      </c>
      <c r="H1354">
        <v>35</v>
      </c>
      <c r="I1354" t="s">
        <v>15</v>
      </c>
      <c r="J1354" t="s">
        <v>12</v>
      </c>
      <c r="K1354" t="s">
        <v>12</v>
      </c>
      <c r="L1354" t="s">
        <v>433</v>
      </c>
      <c r="M1354" t="s">
        <v>986</v>
      </c>
      <c r="O1354">
        <v>2.69</v>
      </c>
      <c r="P1354">
        <v>0.5</v>
      </c>
      <c r="GC1354">
        <v>1</v>
      </c>
    </row>
    <row r="1355" spans="1:191" x14ac:dyDescent="0.25">
      <c r="A1355" t="s">
        <v>431</v>
      </c>
      <c r="B1355" t="s">
        <v>432</v>
      </c>
      <c r="C1355" s="4">
        <f t="shared" si="32"/>
        <v>42.679722222222217</v>
      </c>
      <c r="D1355" s="3">
        <f t="shared" si="33"/>
        <v>74.528972222222222</v>
      </c>
      <c r="E1355" t="s">
        <v>15</v>
      </c>
      <c r="F1355" t="s">
        <v>20</v>
      </c>
      <c r="G1355" t="s">
        <v>106</v>
      </c>
      <c r="H1355">
        <v>35</v>
      </c>
      <c r="I1355" t="s">
        <v>15</v>
      </c>
      <c r="J1355" t="s">
        <v>12</v>
      </c>
      <c r="K1355" t="s">
        <v>12</v>
      </c>
      <c r="L1355" t="s">
        <v>433</v>
      </c>
      <c r="M1355" t="s">
        <v>986</v>
      </c>
      <c r="O1355">
        <v>6.62</v>
      </c>
      <c r="P1355">
        <v>0.81</v>
      </c>
      <c r="GD1355">
        <v>1</v>
      </c>
    </row>
    <row r="1356" spans="1:191" x14ac:dyDescent="0.25">
      <c r="A1356" t="s">
        <v>431</v>
      </c>
      <c r="B1356" t="s">
        <v>432</v>
      </c>
      <c r="C1356" s="4">
        <f t="shared" si="32"/>
        <v>42.679722222222217</v>
      </c>
      <c r="D1356" s="3">
        <f t="shared" si="33"/>
        <v>74.528972222222222</v>
      </c>
      <c r="E1356" t="s">
        <v>15</v>
      </c>
      <c r="F1356" t="s">
        <v>20</v>
      </c>
      <c r="G1356" t="s">
        <v>106</v>
      </c>
      <c r="H1356">
        <v>35</v>
      </c>
      <c r="I1356" t="s">
        <v>15</v>
      </c>
      <c r="J1356" t="s">
        <v>12</v>
      </c>
      <c r="K1356" t="s">
        <v>12</v>
      </c>
      <c r="L1356" t="s">
        <v>433</v>
      </c>
      <c r="M1356" t="s">
        <v>986</v>
      </c>
      <c r="O1356">
        <v>8.6999999999999993</v>
      </c>
      <c r="P1356">
        <v>1.36</v>
      </c>
      <c r="GE1356">
        <v>1</v>
      </c>
    </row>
    <row r="1357" spans="1:191" x14ac:dyDescent="0.25">
      <c r="A1357" t="s">
        <v>431</v>
      </c>
      <c r="B1357" t="s">
        <v>432</v>
      </c>
      <c r="C1357" s="4">
        <f t="shared" si="32"/>
        <v>42.679722222222217</v>
      </c>
      <c r="D1357" s="3">
        <f t="shared" si="33"/>
        <v>74.528972222222222</v>
      </c>
      <c r="E1357" t="s">
        <v>15</v>
      </c>
      <c r="F1357" t="s">
        <v>20</v>
      </c>
      <c r="G1357" t="s">
        <v>106</v>
      </c>
      <c r="H1357">
        <v>35</v>
      </c>
      <c r="I1357" t="s">
        <v>15</v>
      </c>
      <c r="J1357" t="s">
        <v>12</v>
      </c>
      <c r="K1357" t="s">
        <v>12</v>
      </c>
      <c r="L1357" t="s">
        <v>433</v>
      </c>
      <c r="M1357" t="s">
        <v>986</v>
      </c>
      <c r="O1357">
        <v>10</v>
      </c>
      <c r="P1357">
        <v>2.13</v>
      </c>
      <c r="GF1357">
        <v>1</v>
      </c>
    </row>
    <row r="1358" spans="1:191" x14ac:dyDescent="0.25">
      <c r="A1358" t="s">
        <v>431</v>
      </c>
      <c r="B1358" t="s">
        <v>432</v>
      </c>
      <c r="C1358" s="4">
        <f t="shared" si="32"/>
        <v>42.679722222222217</v>
      </c>
      <c r="D1358" s="3">
        <f t="shared" si="33"/>
        <v>74.528972222222222</v>
      </c>
      <c r="E1358" t="s">
        <v>15</v>
      </c>
      <c r="F1358" t="s">
        <v>20</v>
      </c>
      <c r="G1358" t="s">
        <v>106</v>
      </c>
      <c r="H1358">
        <v>35</v>
      </c>
      <c r="I1358" t="s">
        <v>15</v>
      </c>
      <c r="J1358" t="s">
        <v>12</v>
      </c>
      <c r="K1358" t="s">
        <v>12</v>
      </c>
      <c r="L1358" t="s">
        <v>433</v>
      </c>
      <c r="M1358" t="s">
        <v>986</v>
      </c>
      <c r="O1358">
        <v>7.22</v>
      </c>
      <c r="P1358">
        <v>0.85</v>
      </c>
      <c r="GG1358">
        <v>1</v>
      </c>
    </row>
    <row r="1359" spans="1:191" x14ac:dyDescent="0.25">
      <c r="A1359" t="s">
        <v>431</v>
      </c>
      <c r="B1359" t="s">
        <v>432</v>
      </c>
      <c r="C1359" s="4">
        <f t="shared" si="32"/>
        <v>42.679722222222217</v>
      </c>
      <c r="D1359" s="3">
        <f t="shared" si="33"/>
        <v>74.528972222222222</v>
      </c>
      <c r="E1359" t="s">
        <v>15</v>
      </c>
      <c r="F1359" t="s">
        <v>20</v>
      </c>
      <c r="G1359" t="s">
        <v>106</v>
      </c>
      <c r="H1359">
        <v>35</v>
      </c>
      <c r="I1359" t="s">
        <v>15</v>
      </c>
      <c r="J1359" t="s">
        <v>12</v>
      </c>
      <c r="K1359" t="s">
        <v>12</v>
      </c>
      <c r="L1359" t="s">
        <v>433</v>
      </c>
      <c r="M1359" t="s">
        <v>986</v>
      </c>
      <c r="O1359">
        <v>7.82</v>
      </c>
      <c r="P1359">
        <v>0.47</v>
      </c>
      <c r="GH1359">
        <v>1</v>
      </c>
    </row>
    <row r="1360" spans="1:191" x14ac:dyDescent="0.25">
      <c r="A1360" t="s">
        <v>431</v>
      </c>
      <c r="B1360" t="s">
        <v>432</v>
      </c>
      <c r="C1360" s="4">
        <f t="shared" si="32"/>
        <v>42.679722222222217</v>
      </c>
      <c r="D1360" s="3">
        <f t="shared" si="33"/>
        <v>74.528972222222222</v>
      </c>
      <c r="E1360" t="s">
        <v>15</v>
      </c>
      <c r="F1360" t="s">
        <v>20</v>
      </c>
      <c r="G1360" t="s">
        <v>106</v>
      </c>
      <c r="H1360">
        <v>35</v>
      </c>
      <c r="I1360" t="s">
        <v>15</v>
      </c>
      <c r="J1360" t="s">
        <v>12</v>
      </c>
      <c r="K1360" t="s">
        <v>12</v>
      </c>
      <c r="L1360" t="s">
        <v>433</v>
      </c>
      <c r="M1360" t="s">
        <v>986</v>
      </c>
      <c r="O1360">
        <v>8.39</v>
      </c>
      <c r="P1360">
        <v>0.42</v>
      </c>
      <c r="GI1360">
        <v>1</v>
      </c>
    </row>
    <row r="1361" spans="1:191" x14ac:dyDescent="0.25">
      <c r="A1361" t="s">
        <v>732</v>
      </c>
      <c r="B1361" t="s">
        <v>432</v>
      </c>
      <c r="C1361" s="3">
        <v>42.47</v>
      </c>
      <c r="D1361" s="3">
        <v>78.53</v>
      </c>
      <c r="E1361" t="s">
        <v>15</v>
      </c>
      <c r="F1361" t="s">
        <v>20</v>
      </c>
      <c r="G1361" t="s">
        <v>731</v>
      </c>
      <c r="I1361" t="s">
        <v>12</v>
      </c>
      <c r="J1361" t="s">
        <v>12</v>
      </c>
      <c r="K1361" t="s">
        <v>12</v>
      </c>
      <c r="L1361" t="s">
        <v>769</v>
      </c>
      <c r="M1361" t="s">
        <v>828</v>
      </c>
      <c r="O1361">
        <v>9.9499999999999993</v>
      </c>
      <c r="P1361">
        <v>3.4</v>
      </c>
      <c r="FW1361">
        <v>1</v>
      </c>
      <c r="FX1361">
        <v>1</v>
      </c>
      <c r="FY1361">
        <v>1</v>
      </c>
      <c r="FZ1361">
        <v>1</v>
      </c>
      <c r="GA1361">
        <v>1</v>
      </c>
      <c r="GB1361">
        <v>1</v>
      </c>
      <c r="GC1361">
        <v>1</v>
      </c>
      <c r="GD1361">
        <v>1</v>
      </c>
      <c r="GE1361">
        <v>1</v>
      </c>
      <c r="GF1361">
        <v>1</v>
      </c>
      <c r="GG1361">
        <v>1</v>
      </c>
      <c r="GH1361">
        <v>1</v>
      </c>
      <c r="GI1361">
        <v>1</v>
      </c>
    </row>
    <row r="1362" spans="1:191" x14ac:dyDescent="0.25">
      <c r="A1362" t="s">
        <v>434</v>
      </c>
      <c r="B1362" t="s">
        <v>432</v>
      </c>
      <c r="C1362" s="4">
        <f t="shared" ref="C1362:C1374" si="34">42+27/60+49.3/3600</f>
        <v>42.46369444444445</v>
      </c>
      <c r="D1362" s="3">
        <f t="shared" ref="D1362:D1374" si="35">78+31/60+49.3/3600</f>
        <v>78.530361111111105</v>
      </c>
      <c r="E1362" t="s">
        <v>15</v>
      </c>
      <c r="F1362" t="s">
        <v>20</v>
      </c>
      <c r="G1362" t="s">
        <v>106</v>
      </c>
      <c r="H1362">
        <v>35</v>
      </c>
      <c r="I1362" t="s">
        <v>15</v>
      </c>
      <c r="J1362" t="s">
        <v>12</v>
      </c>
      <c r="K1362" t="s">
        <v>12</v>
      </c>
      <c r="L1362" t="s">
        <v>433</v>
      </c>
      <c r="M1362" t="s">
        <v>986</v>
      </c>
      <c r="O1362">
        <v>5.6</v>
      </c>
      <c r="P1362">
        <v>0.38</v>
      </c>
      <c r="FW1362">
        <v>1</v>
      </c>
    </row>
    <row r="1363" spans="1:191" x14ac:dyDescent="0.25">
      <c r="A1363" t="s">
        <v>434</v>
      </c>
      <c r="B1363" t="s">
        <v>432</v>
      </c>
      <c r="C1363" s="4">
        <f t="shared" si="34"/>
        <v>42.46369444444445</v>
      </c>
      <c r="D1363" s="3">
        <f t="shared" si="35"/>
        <v>78.530361111111105</v>
      </c>
      <c r="E1363" t="s">
        <v>15</v>
      </c>
      <c r="F1363" t="s">
        <v>20</v>
      </c>
      <c r="G1363" t="s">
        <v>106</v>
      </c>
      <c r="H1363">
        <v>35</v>
      </c>
      <c r="I1363" t="s">
        <v>15</v>
      </c>
      <c r="J1363" t="s">
        <v>12</v>
      </c>
      <c r="K1363" t="s">
        <v>12</v>
      </c>
      <c r="L1363" t="s">
        <v>433</v>
      </c>
      <c r="M1363" t="s">
        <v>986</v>
      </c>
      <c r="O1363">
        <v>14</v>
      </c>
      <c r="P1363">
        <v>3</v>
      </c>
      <c r="FX1363">
        <v>1</v>
      </c>
    </row>
    <row r="1364" spans="1:191" x14ac:dyDescent="0.25">
      <c r="A1364" t="s">
        <v>434</v>
      </c>
      <c r="B1364" t="s">
        <v>432</v>
      </c>
      <c r="C1364" s="4">
        <f t="shared" si="34"/>
        <v>42.46369444444445</v>
      </c>
      <c r="D1364" s="3">
        <f t="shared" si="35"/>
        <v>78.530361111111105</v>
      </c>
      <c r="E1364" t="s">
        <v>15</v>
      </c>
      <c r="F1364" t="s">
        <v>20</v>
      </c>
      <c r="G1364" t="s">
        <v>106</v>
      </c>
      <c r="H1364">
        <v>35</v>
      </c>
      <c r="I1364" t="s">
        <v>15</v>
      </c>
      <c r="J1364" t="s">
        <v>12</v>
      </c>
      <c r="K1364" t="s">
        <v>12</v>
      </c>
      <c r="L1364" t="s">
        <v>433</v>
      </c>
      <c r="M1364" t="s">
        <v>986</v>
      </c>
      <c r="O1364">
        <v>9.9499999999999993</v>
      </c>
      <c r="P1364">
        <v>0.96</v>
      </c>
      <c r="FY1364">
        <v>1</v>
      </c>
    </row>
    <row r="1365" spans="1:191" x14ac:dyDescent="0.25">
      <c r="A1365" t="s">
        <v>434</v>
      </c>
      <c r="B1365" t="s">
        <v>432</v>
      </c>
      <c r="C1365" s="4">
        <f t="shared" si="34"/>
        <v>42.46369444444445</v>
      </c>
      <c r="D1365" s="3">
        <f t="shared" si="35"/>
        <v>78.530361111111105</v>
      </c>
      <c r="E1365" t="s">
        <v>15</v>
      </c>
      <c r="F1365" t="s">
        <v>20</v>
      </c>
      <c r="G1365" t="s">
        <v>106</v>
      </c>
      <c r="H1365">
        <v>35</v>
      </c>
      <c r="I1365" t="s">
        <v>15</v>
      </c>
      <c r="J1365" t="s">
        <v>12</v>
      </c>
      <c r="K1365" t="s">
        <v>12</v>
      </c>
      <c r="L1365" t="s">
        <v>433</v>
      </c>
      <c r="M1365" t="s">
        <v>986</v>
      </c>
      <c r="O1365">
        <v>6.02</v>
      </c>
      <c r="P1365">
        <v>0.52</v>
      </c>
      <c r="FZ1365">
        <v>1</v>
      </c>
    </row>
    <row r="1366" spans="1:191" x14ac:dyDescent="0.25">
      <c r="A1366" t="s">
        <v>434</v>
      </c>
      <c r="B1366" t="s">
        <v>432</v>
      </c>
      <c r="C1366" s="4">
        <f t="shared" si="34"/>
        <v>42.46369444444445</v>
      </c>
      <c r="D1366" s="3">
        <f t="shared" si="35"/>
        <v>78.530361111111105</v>
      </c>
      <c r="E1366" t="s">
        <v>15</v>
      </c>
      <c r="F1366" t="s">
        <v>20</v>
      </c>
      <c r="G1366" t="s">
        <v>106</v>
      </c>
      <c r="H1366">
        <v>35</v>
      </c>
      <c r="I1366" t="s">
        <v>15</v>
      </c>
      <c r="J1366" t="s">
        <v>12</v>
      </c>
      <c r="K1366" t="s">
        <v>12</v>
      </c>
      <c r="L1366" t="s">
        <v>433</v>
      </c>
      <c r="M1366" t="s">
        <v>986</v>
      </c>
      <c r="O1366">
        <v>4.84</v>
      </c>
      <c r="P1366">
        <v>0.64</v>
      </c>
      <c r="GA1366">
        <v>1</v>
      </c>
    </row>
    <row r="1367" spans="1:191" x14ac:dyDescent="0.25">
      <c r="A1367" t="s">
        <v>434</v>
      </c>
      <c r="B1367" t="s">
        <v>432</v>
      </c>
      <c r="C1367" s="4">
        <f t="shared" si="34"/>
        <v>42.46369444444445</v>
      </c>
      <c r="D1367" s="3">
        <f t="shared" si="35"/>
        <v>78.530361111111105</v>
      </c>
      <c r="E1367" t="s">
        <v>15</v>
      </c>
      <c r="F1367" t="s">
        <v>20</v>
      </c>
      <c r="G1367" t="s">
        <v>106</v>
      </c>
      <c r="H1367">
        <v>35</v>
      </c>
      <c r="I1367" t="s">
        <v>15</v>
      </c>
      <c r="J1367" t="s">
        <v>12</v>
      </c>
      <c r="K1367" t="s">
        <v>12</v>
      </c>
      <c r="L1367" t="s">
        <v>433</v>
      </c>
      <c r="M1367" t="s">
        <v>986</v>
      </c>
      <c r="O1367">
        <v>7.04</v>
      </c>
      <c r="P1367">
        <v>0.89</v>
      </c>
      <c r="GB1367">
        <v>1</v>
      </c>
    </row>
    <row r="1368" spans="1:191" x14ac:dyDescent="0.25">
      <c r="A1368" t="s">
        <v>434</v>
      </c>
      <c r="B1368" t="s">
        <v>432</v>
      </c>
      <c r="C1368" s="4">
        <f t="shared" si="34"/>
        <v>42.46369444444445</v>
      </c>
      <c r="D1368" s="3">
        <f t="shared" si="35"/>
        <v>78.530361111111105</v>
      </c>
      <c r="E1368" t="s">
        <v>15</v>
      </c>
      <c r="F1368" t="s">
        <v>20</v>
      </c>
      <c r="G1368" t="s">
        <v>106</v>
      </c>
      <c r="H1368">
        <v>35</v>
      </c>
      <c r="I1368" t="s">
        <v>15</v>
      </c>
      <c r="J1368" t="s">
        <v>12</v>
      </c>
      <c r="K1368" t="s">
        <v>12</v>
      </c>
      <c r="L1368" t="s">
        <v>433</v>
      </c>
      <c r="M1368" t="s">
        <v>986</v>
      </c>
      <c r="O1368">
        <v>5.23</v>
      </c>
      <c r="P1368">
        <v>0.56000000000000005</v>
      </c>
      <c r="GC1368">
        <v>1</v>
      </c>
    </row>
    <row r="1369" spans="1:191" x14ac:dyDescent="0.25">
      <c r="A1369" t="s">
        <v>434</v>
      </c>
      <c r="B1369" t="s">
        <v>432</v>
      </c>
      <c r="C1369" s="4">
        <f t="shared" si="34"/>
        <v>42.46369444444445</v>
      </c>
      <c r="D1369" s="3">
        <f t="shared" si="35"/>
        <v>78.530361111111105</v>
      </c>
      <c r="E1369" t="s">
        <v>15</v>
      </c>
      <c r="F1369" t="s">
        <v>20</v>
      </c>
      <c r="G1369" t="s">
        <v>106</v>
      </c>
      <c r="H1369">
        <v>35</v>
      </c>
      <c r="I1369" t="s">
        <v>15</v>
      </c>
      <c r="J1369" t="s">
        <v>12</v>
      </c>
      <c r="K1369" t="s">
        <v>12</v>
      </c>
      <c r="L1369" t="s">
        <v>433</v>
      </c>
      <c r="M1369" t="s">
        <v>986</v>
      </c>
      <c r="O1369">
        <v>8.11</v>
      </c>
      <c r="P1369">
        <v>0.84</v>
      </c>
      <c r="GD1369">
        <v>1</v>
      </c>
    </row>
    <row r="1370" spans="1:191" x14ac:dyDescent="0.25">
      <c r="A1370" t="s">
        <v>434</v>
      </c>
      <c r="B1370" t="s">
        <v>432</v>
      </c>
      <c r="C1370" s="4">
        <f t="shared" si="34"/>
        <v>42.46369444444445</v>
      </c>
      <c r="D1370" s="3">
        <f t="shared" si="35"/>
        <v>78.530361111111105</v>
      </c>
      <c r="E1370" t="s">
        <v>15</v>
      </c>
      <c r="F1370" t="s">
        <v>20</v>
      </c>
      <c r="G1370" t="s">
        <v>106</v>
      </c>
      <c r="H1370">
        <v>35</v>
      </c>
      <c r="I1370" t="s">
        <v>15</v>
      </c>
      <c r="J1370" t="s">
        <v>12</v>
      </c>
      <c r="K1370" t="s">
        <v>12</v>
      </c>
      <c r="L1370" t="s">
        <v>433</v>
      </c>
      <c r="M1370" t="s">
        <v>986</v>
      </c>
      <c r="O1370">
        <v>9.34</v>
      </c>
      <c r="P1370">
        <v>1.28</v>
      </c>
      <c r="GE1370">
        <v>1</v>
      </c>
    </row>
    <row r="1371" spans="1:191" x14ac:dyDescent="0.25">
      <c r="A1371" t="s">
        <v>434</v>
      </c>
      <c r="B1371" t="s">
        <v>432</v>
      </c>
      <c r="C1371" s="4">
        <f t="shared" si="34"/>
        <v>42.46369444444445</v>
      </c>
      <c r="D1371" s="3">
        <f t="shared" si="35"/>
        <v>78.530361111111105</v>
      </c>
      <c r="E1371" t="s">
        <v>15</v>
      </c>
      <c r="F1371" t="s">
        <v>20</v>
      </c>
      <c r="G1371" t="s">
        <v>106</v>
      </c>
      <c r="H1371">
        <v>35</v>
      </c>
      <c r="I1371" t="s">
        <v>15</v>
      </c>
      <c r="J1371" t="s">
        <v>12</v>
      </c>
      <c r="K1371" t="s">
        <v>12</v>
      </c>
      <c r="L1371" t="s">
        <v>433</v>
      </c>
      <c r="M1371" t="s">
        <v>986</v>
      </c>
      <c r="O1371">
        <v>10.6</v>
      </c>
      <c r="P1371">
        <v>1.59</v>
      </c>
      <c r="GF1371">
        <v>1</v>
      </c>
    </row>
    <row r="1372" spans="1:191" x14ac:dyDescent="0.25">
      <c r="A1372" t="s">
        <v>434</v>
      </c>
      <c r="B1372" t="s">
        <v>432</v>
      </c>
      <c r="C1372" s="4">
        <f t="shared" si="34"/>
        <v>42.46369444444445</v>
      </c>
      <c r="D1372" s="3">
        <f t="shared" si="35"/>
        <v>78.530361111111105</v>
      </c>
      <c r="E1372" t="s">
        <v>15</v>
      </c>
      <c r="F1372" t="s">
        <v>20</v>
      </c>
      <c r="G1372" t="s">
        <v>106</v>
      </c>
      <c r="H1372">
        <v>35</v>
      </c>
      <c r="I1372" t="s">
        <v>15</v>
      </c>
      <c r="J1372" t="s">
        <v>12</v>
      </c>
      <c r="K1372" t="s">
        <v>12</v>
      </c>
      <c r="L1372" t="s">
        <v>433</v>
      </c>
      <c r="M1372" t="s">
        <v>986</v>
      </c>
      <c r="O1372">
        <v>5.7</v>
      </c>
      <c r="P1372">
        <v>1.01</v>
      </c>
      <c r="GG1372">
        <v>1</v>
      </c>
    </row>
    <row r="1373" spans="1:191" x14ac:dyDescent="0.25">
      <c r="A1373" t="s">
        <v>434</v>
      </c>
      <c r="B1373" t="s">
        <v>432</v>
      </c>
      <c r="C1373" s="4">
        <f t="shared" si="34"/>
        <v>42.46369444444445</v>
      </c>
      <c r="D1373" s="3">
        <f t="shared" si="35"/>
        <v>78.530361111111105</v>
      </c>
      <c r="E1373" t="s">
        <v>15</v>
      </c>
      <c r="F1373" t="s">
        <v>20</v>
      </c>
      <c r="G1373" t="s">
        <v>106</v>
      </c>
      <c r="H1373">
        <v>35</v>
      </c>
      <c r="I1373" t="s">
        <v>15</v>
      </c>
      <c r="J1373" t="s">
        <v>12</v>
      </c>
      <c r="K1373" t="s">
        <v>12</v>
      </c>
      <c r="L1373" t="s">
        <v>433</v>
      </c>
      <c r="M1373" t="s">
        <v>986</v>
      </c>
      <c r="O1373">
        <v>7.1</v>
      </c>
      <c r="P1373">
        <v>1.71</v>
      </c>
      <c r="GH1373">
        <v>1</v>
      </c>
    </row>
    <row r="1374" spans="1:191" x14ac:dyDescent="0.25">
      <c r="A1374" t="s">
        <v>434</v>
      </c>
      <c r="B1374" t="s">
        <v>432</v>
      </c>
      <c r="C1374" s="4">
        <f t="shared" si="34"/>
        <v>42.46369444444445</v>
      </c>
      <c r="D1374" s="3">
        <f t="shared" si="35"/>
        <v>78.530361111111105</v>
      </c>
      <c r="E1374" t="s">
        <v>15</v>
      </c>
      <c r="F1374" t="s">
        <v>20</v>
      </c>
      <c r="G1374" t="s">
        <v>106</v>
      </c>
      <c r="H1374">
        <v>35</v>
      </c>
      <c r="I1374" t="s">
        <v>15</v>
      </c>
      <c r="J1374" t="s">
        <v>12</v>
      </c>
      <c r="K1374" t="s">
        <v>12</v>
      </c>
      <c r="L1374" t="s">
        <v>433</v>
      </c>
      <c r="M1374" t="s">
        <v>986</v>
      </c>
      <c r="O1374">
        <v>4.28</v>
      </c>
      <c r="P1374">
        <v>1.02</v>
      </c>
      <c r="ER1374">
        <v>1</v>
      </c>
      <c r="GI1374">
        <v>1</v>
      </c>
    </row>
    <row r="1375" spans="1:191" x14ac:dyDescent="0.25">
      <c r="A1375" t="s">
        <v>286</v>
      </c>
      <c r="B1375" t="s">
        <v>287</v>
      </c>
      <c r="C1375" s="3">
        <f t="shared" ref="C1375:C1398" si="36">33+53/60</f>
        <v>33.883333333333333</v>
      </c>
      <c r="D1375" s="3">
        <f t="shared" ref="D1375:D1398" si="37">35+32/60</f>
        <v>35.533333333333331</v>
      </c>
      <c r="E1375" t="s">
        <v>15</v>
      </c>
      <c r="F1375" t="s">
        <v>8</v>
      </c>
      <c r="G1375" t="s">
        <v>97</v>
      </c>
      <c r="H1375">
        <v>9.6</v>
      </c>
      <c r="I1375" t="s">
        <v>12</v>
      </c>
      <c r="J1375" t="s">
        <v>12</v>
      </c>
      <c r="K1375" t="s">
        <v>12</v>
      </c>
      <c r="L1375" t="s">
        <v>512</v>
      </c>
      <c r="M1375" t="s">
        <v>941</v>
      </c>
      <c r="O1375">
        <v>39</v>
      </c>
      <c r="DV1375">
        <v>1</v>
      </c>
    </row>
    <row r="1376" spans="1:191" x14ac:dyDescent="0.25">
      <c r="A1376" t="s">
        <v>286</v>
      </c>
      <c r="B1376" t="s">
        <v>287</v>
      </c>
      <c r="C1376" s="3">
        <f t="shared" si="36"/>
        <v>33.883333333333333</v>
      </c>
      <c r="D1376" s="3">
        <f t="shared" si="37"/>
        <v>35.533333333333331</v>
      </c>
      <c r="E1376" t="s">
        <v>15</v>
      </c>
      <c r="F1376" t="s">
        <v>8</v>
      </c>
      <c r="G1376" t="s">
        <v>97</v>
      </c>
      <c r="H1376">
        <v>9.6</v>
      </c>
      <c r="I1376" t="s">
        <v>12</v>
      </c>
      <c r="J1376" t="s">
        <v>12</v>
      </c>
      <c r="K1376" t="s">
        <v>12</v>
      </c>
      <c r="L1376" t="s">
        <v>512</v>
      </c>
      <c r="M1376" t="s">
        <v>941</v>
      </c>
      <c r="O1376">
        <v>30</v>
      </c>
      <c r="DW1376">
        <v>1</v>
      </c>
    </row>
    <row r="1377" spans="1:137" x14ac:dyDescent="0.25">
      <c r="A1377" t="s">
        <v>286</v>
      </c>
      <c r="B1377" t="s">
        <v>287</v>
      </c>
      <c r="C1377" s="3">
        <f t="shared" si="36"/>
        <v>33.883333333333333</v>
      </c>
      <c r="D1377" s="3">
        <f t="shared" si="37"/>
        <v>35.533333333333331</v>
      </c>
      <c r="E1377" t="s">
        <v>15</v>
      </c>
      <c r="F1377" t="s">
        <v>8</v>
      </c>
      <c r="G1377" t="s">
        <v>97</v>
      </c>
      <c r="H1377">
        <v>9.6</v>
      </c>
      <c r="I1377" t="s">
        <v>12</v>
      </c>
      <c r="J1377" t="s">
        <v>12</v>
      </c>
      <c r="K1377" t="s">
        <v>12</v>
      </c>
      <c r="L1377" t="s">
        <v>512</v>
      </c>
      <c r="M1377" t="s">
        <v>941</v>
      </c>
      <c r="O1377">
        <v>22</v>
      </c>
      <c r="DX1377">
        <v>1</v>
      </c>
    </row>
    <row r="1378" spans="1:137" x14ac:dyDescent="0.25">
      <c r="A1378" t="s">
        <v>286</v>
      </c>
      <c r="B1378" t="s">
        <v>287</v>
      </c>
      <c r="C1378" s="3">
        <f t="shared" si="36"/>
        <v>33.883333333333333</v>
      </c>
      <c r="D1378" s="3">
        <f t="shared" si="37"/>
        <v>35.533333333333331</v>
      </c>
      <c r="E1378" t="s">
        <v>15</v>
      </c>
      <c r="F1378" t="s">
        <v>8</v>
      </c>
      <c r="G1378" t="s">
        <v>97</v>
      </c>
      <c r="H1378">
        <v>9.6</v>
      </c>
      <c r="I1378" t="s">
        <v>12</v>
      </c>
      <c r="J1378" t="s">
        <v>12</v>
      </c>
      <c r="K1378" t="s">
        <v>12</v>
      </c>
      <c r="L1378" t="s">
        <v>512</v>
      </c>
      <c r="M1378" t="s">
        <v>941</v>
      </c>
      <c r="O1378">
        <v>32</v>
      </c>
      <c r="DY1378">
        <v>1</v>
      </c>
    </row>
    <row r="1379" spans="1:137" x14ac:dyDescent="0.25">
      <c r="A1379" t="s">
        <v>286</v>
      </c>
      <c r="B1379" t="s">
        <v>287</v>
      </c>
      <c r="C1379" s="3">
        <f t="shared" si="36"/>
        <v>33.883333333333333</v>
      </c>
      <c r="D1379" s="3">
        <f t="shared" si="37"/>
        <v>35.533333333333331</v>
      </c>
      <c r="E1379" t="s">
        <v>15</v>
      </c>
      <c r="F1379" t="s">
        <v>8</v>
      </c>
      <c r="G1379" t="s">
        <v>97</v>
      </c>
      <c r="H1379">
        <v>9.6</v>
      </c>
      <c r="I1379" t="s">
        <v>12</v>
      </c>
      <c r="J1379" t="s">
        <v>12</v>
      </c>
      <c r="K1379" t="s">
        <v>12</v>
      </c>
      <c r="L1379" t="s">
        <v>512</v>
      </c>
      <c r="M1379" t="s">
        <v>941</v>
      </c>
      <c r="O1379">
        <v>30</v>
      </c>
      <c r="DZ1379">
        <v>1</v>
      </c>
    </row>
    <row r="1380" spans="1:137" x14ac:dyDescent="0.25">
      <c r="A1380" t="s">
        <v>286</v>
      </c>
      <c r="B1380" t="s">
        <v>287</v>
      </c>
      <c r="C1380" s="3">
        <f t="shared" si="36"/>
        <v>33.883333333333333</v>
      </c>
      <c r="D1380" s="3">
        <f t="shared" si="37"/>
        <v>35.533333333333331</v>
      </c>
      <c r="E1380" t="s">
        <v>15</v>
      </c>
      <c r="F1380" t="s">
        <v>8</v>
      </c>
      <c r="G1380" t="s">
        <v>97</v>
      </c>
      <c r="H1380">
        <v>9.6</v>
      </c>
      <c r="I1380" t="s">
        <v>12</v>
      </c>
      <c r="J1380" t="s">
        <v>12</v>
      </c>
      <c r="K1380" t="s">
        <v>12</v>
      </c>
      <c r="L1380" t="s">
        <v>512</v>
      </c>
      <c r="M1380" t="s">
        <v>941</v>
      </c>
      <c r="O1380">
        <v>32</v>
      </c>
      <c r="EA1380">
        <v>1</v>
      </c>
    </row>
    <row r="1381" spans="1:137" x14ac:dyDescent="0.25">
      <c r="A1381" t="s">
        <v>286</v>
      </c>
      <c r="B1381" t="s">
        <v>287</v>
      </c>
      <c r="C1381" s="3">
        <f t="shared" si="36"/>
        <v>33.883333333333333</v>
      </c>
      <c r="D1381" s="3">
        <f t="shared" si="37"/>
        <v>35.533333333333331</v>
      </c>
      <c r="E1381" t="s">
        <v>15</v>
      </c>
      <c r="F1381" t="s">
        <v>8</v>
      </c>
      <c r="G1381" t="s">
        <v>97</v>
      </c>
      <c r="H1381">
        <v>9.6</v>
      </c>
      <c r="I1381" t="s">
        <v>12</v>
      </c>
      <c r="J1381" t="s">
        <v>12</v>
      </c>
      <c r="K1381" t="s">
        <v>12</v>
      </c>
      <c r="L1381" t="s">
        <v>512</v>
      </c>
      <c r="M1381" t="s">
        <v>941</v>
      </c>
      <c r="O1381">
        <v>32</v>
      </c>
      <c r="EB1381">
        <v>1</v>
      </c>
    </row>
    <row r="1382" spans="1:137" x14ac:dyDescent="0.25">
      <c r="A1382" t="s">
        <v>286</v>
      </c>
      <c r="B1382" t="s">
        <v>287</v>
      </c>
      <c r="C1382" s="3">
        <f t="shared" si="36"/>
        <v>33.883333333333333</v>
      </c>
      <c r="D1382" s="3">
        <f t="shared" si="37"/>
        <v>35.533333333333331</v>
      </c>
      <c r="E1382" t="s">
        <v>15</v>
      </c>
      <c r="F1382" t="s">
        <v>8</v>
      </c>
      <c r="G1382" t="s">
        <v>97</v>
      </c>
      <c r="H1382">
        <v>9.6</v>
      </c>
      <c r="I1382" t="s">
        <v>12</v>
      </c>
      <c r="J1382" t="s">
        <v>12</v>
      </c>
      <c r="K1382" t="s">
        <v>12</v>
      </c>
      <c r="L1382" t="s">
        <v>512</v>
      </c>
      <c r="M1382" t="s">
        <v>941</v>
      </c>
      <c r="O1382">
        <v>42</v>
      </c>
      <c r="EC1382">
        <v>1</v>
      </c>
    </row>
    <row r="1383" spans="1:137" x14ac:dyDescent="0.25">
      <c r="A1383" t="s">
        <v>286</v>
      </c>
      <c r="B1383" t="s">
        <v>287</v>
      </c>
      <c r="C1383" s="3">
        <f t="shared" si="36"/>
        <v>33.883333333333333</v>
      </c>
      <c r="D1383" s="3">
        <f t="shared" si="37"/>
        <v>35.533333333333331</v>
      </c>
      <c r="E1383" t="s">
        <v>15</v>
      </c>
      <c r="F1383" t="s">
        <v>8</v>
      </c>
      <c r="G1383" t="s">
        <v>97</v>
      </c>
      <c r="H1383">
        <v>9.6</v>
      </c>
      <c r="I1383" t="s">
        <v>12</v>
      </c>
      <c r="J1383" t="s">
        <v>12</v>
      </c>
      <c r="K1383" t="s">
        <v>12</v>
      </c>
      <c r="L1383" t="s">
        <v>512</v>
      </c>
      <c r="M1383" t="s">
        <v>941</v>
      </c>
      <c r="O1383">
        <v>31</v>
      </c>
      <c r="ED1383">
        <v>1</v>
      </c>
    </row>
    <row r="1384" spans="1:137" x14ac:dyDescent="0.25">
      <c r="A1384" t="s">
        <v>286</v>
      </c>
      <c r="B1384" t="s">
        <v>287</v>
      </c>
      <c r="C1384" s="3">
        <f t="shared" si="36"/>
        <v>33.883333333333333</v>
      </c>
      <c r="D1384" s="3">
        <f t="shared" si="37"/>
        <v>35.533333333333331</v>
      </c>
      <c r="E1384" t="s">
        <v>15</v>
      </c>
      <c r="F1384" t="s">
        <v>8</v>
      </c>
      <c r="G1384" t="s">
        <v>97</v>
      </c>
      <c r="H1384">
        <v>9.6</v>
      </c>
      <c r="I1384" t="s">
        <v>12</v>
      </c>
      <c r="J1384" t="s">
        <v>12</v>
      </c>
      <c r="K1384" t="s">
        <v>12</v>
      </c>
      <c r="L1384" t="s">
        <v>512</v>
      </c>
      <c r="M1384" t="s">
        <v>941</v>
      </c>
      <c r="O1384">
        <v>21</v>
      </c>
      <c r="EE1384">
        <v>1</v>
      </c>
    </row>
    <row r="1385" spans="1:137" x14ac:dyDescent="0.25">
      <c r="A1385" t="s">
        <v>286</v>
      </c>
      <c r="B1385" t="s">
        <v>287</v>
      </c>
      <c r="C1385" s="3">
        <f t="shared" si="36"/>
        <v>33.883333333333333</v>
      </c>
      <c r="D1385" s="3">
        <f t="shared" si="37"/>
        <v>35.533333333333331</v>
      </c>
      <c r="E1385" t="s">
        <v>15</v>
      </c>
      <c r="F1385" t="s">
        <v>8</v>
      </c>
      <c r="G1385" t="s">
        <v>97</v>
      </c>
      <c r="H1385">
        <v>9.6</v>
      </c>
      <c r="I1385" t="s">
        <v>12</v>
      </c>
      <c r="J1385" t="s">
        <v>12</v>
      </c>
      <c r="K1385" t="s">
        <v>12</v>
      </c>
      <c r="L1385" t="s">
        <v>512</v>
      </c>
      <c r="M1385" t="s">
        <v>941</v>
      </c>
      <c r="O1385">
        <v>21</v>
      </c>
      <c r="EF1385">
        <v>1</v>
      </c>
    </row>
    <row r="1386" spans="1:137" x14ac:dyDescent="0.25">
      <c r="A1386" t="s">
        <v>286</v>
      </c>
      <c r="B1386" t="s">
        <v>287</v>
      </c>
      <c r="C1386" s="3">
        <f t="shared" si="36"/>
        <v>33.883333333333333</v>
      </c>
      <c r="D1386" s="3">
        <f t="shared" si="37"/>
        <v>35.533333333333331</v>
      </c>
      <c r="E1386" t="s">
        <v>15</v>
      </c>
      <c r="F1386" t="s">
        <v>8</v>
      </c>
      <c r="G1386" t="s">
        <v>97</v>
      </c>
      <c r="H1386">
        <v>9.6</v>
      </c>
      <c r="I1386" t="s">
        <v>12</v>
      </c>
      <c r="J1386" t="s">
        <v>12</v>
      </c>
      <c r="K1386" t="s">
        <v>12</v>
      </c>
      <c r="L1386" t="s">
        <v>512</v>
      </c>
      <c r="M1386" t="s">
        <v>941</v>
      </c>
      <c r="O1386">
        <v>30</v>
      </c>
      <c r="EG1386">
        <v>1</v>
      </c>
    </row>
    <row r="1387" spans="1:137" x14ac:dyDescent="0.25">
      <c r="A1387" t="s">
        <v>286</v>
      </c>
      <c r="B1387" t="s">
        <v>287</v>
      </c>
      <c r="C1387" s="3">
        <f t="shared" si="36"/>
        <v>33.883333333333333</v>
      </c>
      <c r="D1387" s="3">
        <f t="shared" si="37"/>
        <v>35.533333333333331</v>
      </c>
      <c r="E1387" t="s">
        <v>15</v>
      </c>
      <c r="F1387" t="s">
        <v>77</v>
      </c>
      <c r="G1387" t="s">
        <v>97</v>
      </c>
      <c r="H1387">
        <v>9.6</v>
      </c>
      <c r="I1387" t="s">
        <v>12</v>
      </c>
      <c r="J1387" t="s">
        <v>12</v>
      </c>
      <c r="K1387" t="s">
        <v>15</v>
      </c>
      <c r="L1387" t="s">
        <v>318</v>
      </c>
      <c r="M1387" t="s">
        <v>1037</v>
      </c>
      <c r="O1387">
        <v>67.400000000000006</v>
      </c>
      <c r="DV1387">
        <v>0.25</v>
      </c>
    </row>
    <row r="1388" spans="1:137" x14ac:dyDescent="0.25">
      <c r="A1388" t="s">
        <v>286</v>
      </c>
      <c r="B1388" t="s">
        <v>287</v>
      </c>
      <c r="C1388" s="3">
        <f t="shared" si="36"/>
        <v>33.883333333333333</v>
      </c>
      <c r="D1388" s="3">
        <f t="shared" si="37"/>
        <v>35.533333333333331</v>
      </c>
      <c r="E1388" t="s">
        <v>15</v>
      </c>
      <c r="F1388" t="s">
        <v>77</v>
      </c>
      <c r="G1388" t="s">
        <v>97</v>
      </c>
      <c r="H1388">
        <v>9.6</v>
      </c>
      <c r="I1388" t="s">
        <v>12</v>
      </c>
      <c r="J1388" t="s">
        <v>12</v>
      </c>
      <c r="K1388" t="s">
        <v>15</v>
      </c>
      <c r="L1388" t="s">
        <v>318</v>
      </c>
      <c r="M1388" t="s">
        <v>1037</v>
      </c>
      <c r="O1388">
        <v>40.299999999999997</v>
      </c>
      <c r="DW1388">
        <v>0.25</v>
      </c>
    </row>
    <row r="1389" spans="1:137" x14ac:dyDescent="0.25">
      <c r="A1389" t="s">
        <v>286</v>
      </c>
      <c r="B1389" t="s">
        <v>287</v>
      </c>
      <c r="C1389" s="3">
        <f t="shared" si="36"/>
        <v>33.883333333333333</v>
      </c>
      <c r="D1389" s="3">
        <f t="shared" si="37"/>
        <v>35.533333333333331</v>
      </c>
      <c r="E1389" t="s">
        <v>15</v>
      </c>
      <c r="F1389" t="s">
        <v>77</v>
      </c>
      <c r="G1389" t="s">
        <v>97</v>
      </c>
      <c r="H1389">
        <v>9.6</v>
      </c>
      <c r="I1389" t="s">
        <v>12</v>
      </c>
      <c r="J1389" t="s">
        <v>12</v>
      </c>
      <c r="K1389" t="s">
        <v>15</v>
      </c>
      <c r="L1389" t="s">
        <v>318</v>
      </c>
      <c r="M1389" t="s">
        <v>1037</v>
      </c>
      <c r="O1389">
        <v>22.5</v>
      </c>
      <c r="DX1389">
        <v>0.25</v>
      </c>
    </row>
    <row r="1390" spans="1:137" x14ac:dyDescent="0.25">
      <c r="A1390" t="s">
        <v>286</v>
      </c>
      <c r="B1390" t="s">
        <v>287</v>
      </c>
      <c r="C1390" s="3">
        <f t="shared" si="36"/>
        <v>33.883333333333333</v>
      </c>
      <c r="D1390" s="3">
        <f t="shared" si="37"/>
        <v>35.533333333333331</v>
      </c>
      <c r="E1390" t="s">
        <v>15</v>
      </c>
      <c r="F1390" t="s">
        <v>77</v>
      </c>
      <c r="G1390" t="s">
        <v>97</v>
      </c>
      <c r="H1390">
        <v>9.6</v>
      </c>
      <c r="I1390" t="s">
        <v>12</v>
      </c>
      <c r="J1390" t="s">
        <v>12</v>
      </c>
      <c r="K1390" t="s">
        <v>15</v>
      </c>
      <c r="L1390" t="s">
        <v>318</v>
      </c>
      <c r="M1390" t="s">
        <v>1037</v>
      </c>
      <c r="O1390">
        <v>25.4</v>
      </c>
      <c r="DY1390">
        <v>0.25</v>
      </c>
    </row>
    <row r="1391" spans="1:137" x14ac:dyDescent="0.25">
      <c r="A1391" t="s">
        <v>286</v>
      </c>
      <c r="B1391" t="s">
        <v>287</v>
      </c>
      <c r="C1391" s="3">
        <f t="shared" si="36"/>
        <v>33.883333333333333</v>
      </c>
      <c r="D1391" s="3">
        <f t="shared" si="37"/>
        <v>35.533333333333331</v>
      </c>
      <c r="E1391" t="s">
        <v>15</v>
      </c>
      <c r="F1391" t="s">
        <v>77</v>
      </c>
      <c r="G1391" t="s">
        <v>97</v>
      </c>
      <c r="H1391">
        <v>9.6</v>
      </c>
      <c r="I1391" t="s">
        <v>12</v>
      </c>
      <c r="J1391" t="s">
        <v>12</v>
      </c>
      <c r="K1391" t="s">
        <v>15</v>
      </c>
      <c r="L1391" t="s">
        <v>318</v>
      </c>
      <c r="M1391" t="s">
        <v>1037</v>
      </c>
      <c r="O1391">
        <v>39.799999999999997</v>
      </c>
      <c r="DZ1391">
        <v>0.25</v>
      </c>
    </row>
    <row r="1392" spans="1:137" x14ac:dyDescent="0.25">
      <c r="A1392" t="s">
        <v>286</v>
      </c>
      <c r="B1392" t="s">
        <v>287</v>
      </c>
      <c r="C1392" s="3">
        <f t="shared" si="36"/>
        <v>33.883333333333333</v>
      </c>
      <c r="D1392" s="3">
        <f t="shared" si="37"/>
        <v>35.533333333333331</v>
      </c>
      <c r="E1392" t="s">
        <v>15</v>
      </c>
      <c r="F1392" t="s">
        <v>77</v>
      </c>
      <c r="G1392" t="s">
        <v>97</v>
      </c>
      <c r="H1392">
        <v>9.6</v>
      </c>
      <c r="I1392" t="s">
        <v>12</v>
      </c>
      <c r="J1392" t="s">
        <v>12</v>
      </c>
      <c r="K1392" t="s">
        <v>15</v>
      </c>
      <c r="L1392" t="s">
        <v>318</v>
      </c>
      <c r="M1392" t="s">
        <v>1037</v>
      </c>
      <c r="O1392">
        <v>40.4</v>
      </c>
      <c r="EA1392">
        <v>0.25</v>
      </c>
    </row>
    <row r="1393" spans="1:184" x14ac:dyDescent="0.25">
      <c r="A1393" t="s">
        <v>286</v>
      </c>
      <c r="B1393" t="s">
        <v>287</v>
      </c>
      <c r="C1393" s="3">
        <f t="shared" si="36"/>
        <v>33.883333333333333</v>
      </c>
      <c r="D1393" s="3">
        <f t="shared" si="37"/>
        <v>35.533333333333331</v>
      </c>
      <c r="E1393" t="s">
        <v>15</v>
      </c>
      <c r="F1393" t="s">
        <v>77</v>
      </c>
      <c r="G1393" t="s">
        <v>97</v>
      </c>
      <c r="H1393">
        <v>9.6</v>
      </c>
      <c r="I1393" t="s">
        <v>12</v>
      </c>
      <c r="J1393" t="s">
        <v>12</v>
      </c>
      <c r="K1393" t="s">
        <v>15</v>
      </c>
      <c r="L1393" t="s">
        <v>318</v>
      </c>
      <c r="M1393" t="s">
        <v>1037</v>
      </c>
      <c r="O1393">
        <v>32.6</v>
      </c>
      <c r="EB1393">
        <v>0.25</v>
      </c>
    </row>
    <row r="1394" spans="1:184" x14ac:dyDescent="0.25">
      <c r="A1394" t="s">
        <v>286</v>
      </c>
      <c r="B1394" t="s">
        <v>287</v>
      </c>
      <c r="C1394" s="3">
        <f t="shared" si="36"/>
        <v>33.883333333333333</v>
      </c>
      <c r="D1394" s="3">
        <f t="shared" si="37"/>
        <v>35.533333333333331</v>
      </c>
      <c r="E1394" t="s">
        <v>15</v>
      </c>
      <c r="F1394" t="s">
        <v>77</v>
      </c>
      <c r="G1394" t="s">
        <v>97</v>
      </c>
      <c r="H1394">
        <v>9.6</v>
      </c>
      <c r="I1394" t="s">
        <v>12</v>
      </c>
      <c r="J1394" t="s">
        <v>12</v>
      </c>
      <c r="K1394" t="s">
        <v>15</v>
      </c>
      <c r="L1394" t="s">
        <v>318</v>
      </c>
      <c r="M1394" t="s">
        <v>1037</v>
      </c>
      <c r="O1394">
        <v>59.9</v>
      </c>
      <c r="EC1394">
        <v>0.25</v>
      </c>
    </row>
    <row r="1395" spans="1:184" x14ac:dyDescent="0.25">
      <c r="A1395" t="s">
        <v>286</v>
      </c>
      <c r="B1395" t="s">
        <v>287</v>
      </c>
      <c r="C1395" s="3">
        <f t="shared" si="36"/>
        <v>33.883333333333333</v>
      </c>
      <c r="D1395" s="3">
        <f t="shared" si="37"/>
        <v>35.533333333333331</v>
      </c>
      <c r="E1395" t="s">
        <v>15</v>
      </c>
      <c r="F1395" t="s">
        <v>77</v>
      </c>
      <c r="G1395" t="s">
        <v>97</v>
      </c>
      <c r="H1395">
        <v>9.6</v>
      </c>
      <c r="I1395" t="s">
        <v>12</v>
      </c>
      <c r="J1395" t="s">
        <v>12</v>
      </c>
      <c r="K1395" t="s">
        <v>15</v>
      </c>
      <c r="L1395" t="s">
        <v>318</v>
      </c>
      <c r="M1395" t="s">
        <v>1037</v>
      </c>
      <c r="O1395">
        <v>42.6</v>
      </c>
      <c r="ED1395">
        <v>0.25</v>
      </c>
    </row>
    <row r="1396" spans="1:184" x14ac:dyDescent="0.25">
      <c r="A1396" t="s">
        <v>286</v>
      </c>
      <c r="B1396" t="s">
        <v>287</v>
      </c>
      <c r="C1396" s="3">
        <f t="shared" si="36"/>
        <v>33.883333333333333</v>
      </c>
      <c r="D1396" s="3">
        <f t="shared" si="37"/>
        <v>35.533333333333331</v>
      </c>
      <c r="E1396" t="s">
        <v>15</v>
      </c>
      <c r="F1396" t="s">
        <v>77</v>
      </c>
      <c r="G1396" t="s">
        <v>97</v>
      </c>
      <c r="H1396">
        <v>9.6</v>
      </c>
      <c r="I1396" t="s">
        <v>12</v>
      </c>
      <c r="J1396" t="s">
        <v>12</v>
      </c>
      <c r="K1396" t="s">
        <v>15</v>
      </c>
      <c r="L1396" t="s">
        <v>318</v>
      </c>
      <c r="M1396" t="s">
        <v>1037</v>
      </c>
      <c r="O1396">
        <v>20.100000000000001</v>
      </c>
      <c r="EE1396">
        <v>0.25</v>
      </c>
    </row>
    <row r="1397" spans="1:184" x14ac:dyDescent="0.25">
      <c r="A1397" t="s">
        <v>286</v>
      </c>
      <c r="B1397" t="s">
        <v>287</v>
      </c>
      <c r="C1397" s="3">
        <f t="shared" si="36"/>
        <v>33.883333333333333</v>
      </c>
      <c r="D1397" s="3">
        <f t="shared" si="37"/>
        <v>35.533333333333331</v>
      </c>
      <c r="E1397" t="s">
        <v>15</v>
      </c>
      <c r="F1397" t="s">
        <v>77</v>
      </c>
      <c r="G1397" t="s">
        <v>97</v>
      </c>
      <c r="H1397">
        <v>9.6</v>
      </c>
      <c r="I1397" t="s">
        <v>12</v>
      </c>
      <c r="J1397" t="s">
        <v>12</v>
      </c>
      <c r="K1397" t="s">
        <v>15</v>
      </c>
      <c r="L1397" t="s">
        <v>318</v>
      </c>
      <c r="M1397" t="s">
        <v>1037</v>
      </c>
      <c r="O1397">
        <v>31.4</v>
      </c>
      <c r="EF1397">
        <v>0.25</v>
      </c>
    </row>
    <row r="1398" spans="1:184" x14ac:dyDescent="0.25">
      <c r="A1398" t="s">
        <v>286</v>
      </c>
      <c r="B1398" t="s">
        <v>287</v>
      </c>
      <c r="C1398" s="3">
        <f t="shared" si="36"/>
        <v>33.883333333333333</v>
      </c>
      <c r="D1398" s="3">
        <f t="shared" si="37"/>
        <v>35.533333333333331</v>
      </c>
      <c r="E1398" t="s">
        <v>15</v>
      </c>
      <c r="F1398" t="s">
        <v>77</v>
      </c>
      <c r="G1398" t="s">
        <v>97</v>
      </c>
      <c r="H1398">
        <v>9.6</v>
      </c>
      <c r="I1398" t="s">
        <v>12</v>
      </c>
      <c r="J1398" t="s">
        <v>12</v>
      </c>
      <c r="K1398" t="s">
        <v>15</v>
      </c>
      <c r="L1398" t="s">
        <v>318</v>
      </c>
      <c r="M1398" t="s">
        <v>1037</v>
      </c>
      <c r="O1398">
        <v>39.9</v>
      </c>
      <c r="EG1398">
        <v>0.25</v>
      </c>
    </row>
    <row r="1399" spans="1:184" x14ac:dyDescent="0.25">
      <c r="A1399" t="s">
        <v>286</v>
      </c>
      <c r="B1399" t="s">
        <v>287</v>
      </c>
      <c r="C1399" s="3">
        <v>33.840000000000003</v>
      </c>
      <c r="D1399" s="3">
        <v>35.5</v>
      </c>
      <c r="E1399" t="s">
        <v>34</v>
      </c>
      <c r="F1399" t="s">
        <v>77</v>
      </c>
      <c r="G1399" t="s">
        <v>97</v>
      </c>
      <c r="H1399">
        <v>50</v>
      </c>
      <c r="I1399" t="s">
        <v>12</v>
      </c>
      <c r="J1399" t="s">
        <v>12</v>
      </c>
      <c r="K1399" t="s">
        <v>15</v>
      </c>
      <c r="L1399" t="s">
        <v>311</v>
      </c>
      <c r="M1399" t="s">
        <v>1038</v>
      </c>
      <c r="O1399">
        <v>27.63</v>
      </c>
      <c r="FD1399">
        <v>1</v>
      </c>
      <c r="FE1399">
        <v>1</v>
      </c>
      <c r="FF1399">
        <v>1</v>
      </c>
      <c r="FG1399">
        <v>1</v>
      </c>
      <c r="FH1399">
        <v>1</v>
      </c>
      <c r="FI1399">
        <v>1</v>
      </c>
      <c r="FJ1399">
        <v>1</v>
      </c>
      <c r="FK1399">
        <v>1</v>
      </c>
      <c r="FL1399">
        <v>1</v>
      </c>
    </row>
    <row r="1400" spans="1:184" x14ac:dyDescent="0.25">
      <c r="A1400" t="s">
        <v>286</v>
      </c>
      <c r="B1400" t="s">
        <v>287</v>
      </c>
      <c r="C1400" s="3">
        <v>33.880000000000003</v>
      </c>
      <c r="D1400" s="3">
        <v>35.54</v>
      </c>
      <c r="E1400" t="s">
        <v>34</v>
      </c>
      <c r="F1400" t="s">
        <v>77</v>
      </c>
      <c r="G1400" t="s">
        <v>97</v>
      </c>
      <c r="H1400">
        <v>50</v>
      </c>
      <c r="I1400" t="s">
        <v>12</v>
      </c>
      <c r="J1400" t="s">
        <v>12</v>
      </c>
      <c r="K1400" t="s">
        <v>15</v>
      </c>
      <c r="L1400" t="s">
        <v>311</v>
      </c>
      <c r="M1400" t="s">
        <v>1038</v>
      </c>
      <c r="O1400">
        <v>38.86</v>
      </c>
      <c r="DU1400">
        <v>1</v>
      </c>
      <c r="DV1400">
        <v>1</v>
      </c>
      <c r="DW1400">
        <v>1</v>
      </c>
      <c r="DX1400">
        <v>1</v>
      </c>
      <c r="DY1400">
        <v>1</v>
      </c>
      <c r="DZ1400">
        <v>1</v>
      </c>
      <c r="EA1400">
        <v>1</v>
      </c>
      <c r="EB1400">
        <v>1</v>
      </c>
      <c r="EC1400">
        <v>1</v>
      </c>
      <c r="ED1400">
        <v>1</v>
      </c>
      <c r="EE1400">
        <v>1</v>
      </c>
      <c r="EF1400">
        <v>1</v>
      </c>
    </row>
    <row r="1401" spans="1:184" x14ac:dyDescent="0.25">
      <c r="A1401" t="s">
        <v>286</v>
      </c>
      <c r="B1401" t="s">
        <v>287</v>
      </c>
      <c r="C1401" s="3">
        <v>33.89</v>
      </c>
      <c r="D1401" s="3">
        <v>35.479999999999997</v>
      </c>
      <c r="E1401" t="s">
        <v>34</v>
      </c>
      <c r="F1401" t="s">
        <v>77</v>
      </c>
      <c r="G1401" t="s">
        <v>97</v>
      </c>
      <c r="H1401">
        <v>50</v>
      </c>
      <c r="I1401" t="s">
        <v>12</v>
      </c>
      <c r="J1401" t="s">
        <v>12</v>
      </c>
      <c r="K1401" t="s">
        <v>15</v>
      </c>
      <c r="L1401" t="s">
        <v>311</v>
      </c>
      <c r="M1401" t="s">
        <v>1038</v>
      </c>
      <c r="O1401">
        <v>40.950000000000003</v>
      </c>
      <c r="DI1401">
        <v>1</v>
      </c>
      <c r="DJ1401">
        <v>1</v>
      </c>
      <c r="DK1401">
        <v>1</v>
      </c>
      <c r="DL1401">
        <v>1</v>
      </c>
      <c r="DM1401">
        <v>1</v>
      </c>
      <c r="DN1401">
        <v>1</v>
      </c>
    </row>
    <row r="1402" spans="1:184" x14ac:dyDescent="0.25">
      <c r="A1402" t="s">
        <v>286</v>
      </c>
      <c r="B1402" t="s">
        <v>287</v>
      </c>
      <c r="C1402" s="3">
        <v>33.89</v>
      </c>
      <c r="D1402" s="3">
        <v>35.479999999999997</v>
      </c>
      <c r="E1402" t="s">
        <v>12</v>
      </c>
      <c r="F1402" t="s">
        <v>77</v>
      </c>
      <c r="G1402" t="s">
        <v>97</v>
      </c>
      <c r="I1402" t="s">
        <v>12</v>
      </c>
      <c r="J1402" t="s">
        <v>12</v>
      </c>
      <c r="K1402" t="s">
        <v>12</v>
      </c>
      <c r="L1402" t="s">
        <v>288</v>
      </c>
      <c r="M1402" t="s">
        <v>1050</v>
      </c>
      <c r="O1402">
        <v>33.799999999999997</v>
      </c>
      <c r="DJ1402">
        <v>1</v>
      </c>
    </row>
    <row r="1403" spans="1:184" x14ac:dyDescent="0.25">
      <c r="A1403" t="s">
        <v>286</v>
      </c>
      <c r="B1403" t="s">
        <v>287</v>
      </c>
      <c r="C1403" s="3">
        <v>33.89</v>
      </c>
      <c r="D1403" s="3">
        <v>35.479999999999997</v>
      </c>
      <c r="E1403" t="s">
        <v>12</v>
      </c>
      <c r="F1403" t="s">
        <v>77</v>
      </c>
      <c r="G1403" t="s">
        <v>97</v>
      </c>
      <c r="I1403" t="s">
        <v>12</v>
      </c>
      <c r="J1403" t="s">
        <v>12</v>
      </c>
      <c r="K1403" t="s">
        <v>12</v>
      </c>
      <c r="L1403" t="s">
        <v>288</v>
      </c>
      <c r="M1403" t="s">
        <v>1050</v>
      </c>
      <c r="O1403">
        <v>25.2</v>
      </c>
      <c r="DK1403">
        <v>1</v>
      </c>
    </row>
    <row r="1404" spans="1:184" x14ac:dyDescent="0.25">
      <c r="A1404" t="s">
        <v>286</v>
      </c>
      <c r="B1404" t="s">
        <v>287</v>
      </c>
      <c r="C1404" s="3">
        <v>33.89</v>
      </c>
      <c r="D1404" s="3">
        <v>35.479999999999997</v>
      </c>
      <c r="E1404" t="s">
        <v>12</v>
      </c>
      <c r="F1404" t="s">
        <v>77</v>
      </c>
      <c r="G1404" t="s">
        <v>97</v>
      </c>
      <c r="I1404" t="s">
        <v>12</v>
      </c>
      <c r="J1404" t="s">
        <v>12</v>
      </c>
      <c r="K1404" t="s">
        <v>12</v>
      </c>
      <c r="L1404" t="s">
        <v>288</v>
      </c>
      <c r="M1404" t="s">
        <v>1050</v>
      </c>
      <c r="O1404">
        <v>63.7</v>
      </c>
      <c r="DL1404">
        <v>1</v>
      </c>
    </row>
    <row r="1405" spans="1:184" x14ac:dyDescent="0.25">
      <c r="A1405" t="s">
        <v>286</v>
      </c>
      <c r="B1405" t="s">
        <v>287</v>
      </c>
      <c r="C1405" s="3">
        <v>33.89</v>
      </c>
      <c r="D1405" s="3">
        <v>35.479999999999997</v>
      </c>
      <c r="E1405" t="s">
        <v>12</v>
      </c>
      <c r="F1405" t="s">
        <v>77</v>
      </c>
      <c r="G1405" t="s">
        <v>97</v>
      </c>
      <c r="I1405" t="s">
        <v>12</v>
      </c>
      <c r="J1405" t="s">
        <v>12</v>
      </c>
      <c r="K1405" t="s">
        <v>12</v>
      </c>
      <c r="L1405" t="s">
        <v>288</v>
      </c>
      <c r="M1405" t="s">
        <v>1050</v>
      </c>
      <c r="O1405">
        <v>36.9</v>
      </c>
      <c r="DM1405">
        <v>1</v>
      </c>
    </row>
    <row r="1406" spans="1:184" x14ac:dyDescent="0.25">
      <c r="A1406" t="s">
        <v>533</v>
      </c>
      <c r="B1406" t="s">
        <v>236</v>
      </c>
      <c r="C1406" s="3">
        <f>3+15.7/60</f>
        <v>3.2616666666666667</v>
      </c>
      <c r="D1406" s="3">
        <f>101+39/60</f>
        <v>101.65</v>
      </c>
      <c r="E1406" t="s">
        <v>15</v>
      </c>
      <c r="F1406" t="s">
        <v>20</v>
      </c>
      <c r="G1406" t="s">
        <v>106</v>
      </c>
      <c r="I1406" t="s">
        <v>15</v>
      </c>
      <c r="J1406" t="s">
        <v>15</v>
      </c>
      <c r="K1406" t="s">
        <v>12</v>
      </c>
      <c r="L1406" t="s">
        <v>534</v>
      </c>
      <c r="M1406" t="s">
        <v>925</v>
      </c>
      <c r="O1406">
        <v>28</v>
      </c>
      <c r="BL1406">
        <v>1</v>
      </c>
      <c r="BM1406">
        <v>1</v>
      </c>
      <c r="BN1406">
        <v>1</v>
      </c>
      <c r="BO1406">
        <v>1</v>
      </c>
      <c r="BP1406">
        <v>1</v>
      </c>
      <c r="BQ1406">
        <v>1</v>
      </c>
      <c r="BR1406">
        <v>1</v>
      </c>
      <c r="BS1406">
        <v>1</v>
      </c>
      <c r="BT1406">
        <v>1</v>
      </c>
      <c r="BU1406">
        <v>1</v>
      </c>
      <c r="BV1406">
        <v>1</v>
      </c>
      <c r="BW1406">
        <v>1</v>
      </c>
      <c r="BX1406">
        <v>1</v>
      </c>
      <c r="BY1406">
        <v>1</v>
      </c>
      <c r="BZ1406">
        <v>1</v>
      </c>
      <c r="CA1406">
        <v>1</v>
      </c>
      <c r="CB1406">
        <v>1</v>
      </c>
      <c r="CC1406">
        <v>1</v>
      </c>
      <c r="CD1406">
        <v>1</v>
      </c>
      <c r="CE1406">
        <v>1</v>
      </c>
      <c r="CF1406">
        <v>1</v>
      </c>
      <c r="CG1406">
        <v>1</v>
      </c>
      <c r="CH1406">
        <v>1</v>
      </c>
      <c r="CI1406">
        <v>1</v>
      </c>
    </row>
    <row r="1407" spans="1:184" x14ac:dyDescent="0.25">
      <c r="A1407" t="s">
        <v>358</v>
      </c>
      <c r="B1407" t="s">
        <v>236</v>
      </c>
      <c r="C1407" s="3">
        <f>3+10/60+30/3600</f>
        <v>3.1749999999999998</v>
      </c>
      <c r="D1407" s="3">
        <f>101+43/60+24/3600</f>
        <v>101.72333333333333</v>
      </c>
      <c r="E1407" t="s">
        <v>15</v>
      </c>
      <c r="F1407" t="s">
        <v>21</v>
      </c>
      <c r="G1407" t="s">
        <v>106</v>
      </c>
      <c r="I1407" t="s">
        <v>15</v>
      </c>
      <c r="J1407" t="s">
        <v>12</v>
      </c>
      <c r="K1407" t="s">
        <v>12</v>
      </c>
      <c r="L1407" t="s">
        <v>359</v>
      </c>
      <c r="M1407" t="s">
        <v>1022</v>
      </c>
      <c r="O1407">
        <v>26.850999999999999</v>
      </c>
      <c r="P1407">
        <v>9.907</v>
      </c>
      <c r="DU1407">
        <v>1</v>
      </c>
      <c r="DV1407">
        <v>1</v>
      </c>
      <c r="DW1407">
        <v>1</v>
      </c>
      <c r="DX1407">
        <v>1</v>
      </c>
      <c r="DY1407">
        <v>1</v>
      </c>
      <c r="DZ1407">
        <v>1</v>
      </c>
      <c r="EA1407">
        <v>1</v>
      </c>
      <c r="EB1407">
        <v>1</v>
      </c>
      <c r="EC1407">
        <v>1</v>
      </c>
      <c r="ED1407">
        <v>1</v>
      </c>
      <c r="EE1407">
        <v>1</v>
      </c>
      <c r="EF1407">
        <v>1</v>
      </c>
      <c r="EG1407">
        <v>1</v>
      </c>
      <c r="EH1407">
        <v>1</v>
      </c>
      <c r="EI1407">
        <v>1</v>
      </c>
      <c r="EJ1407">
        <v>1</v>
      </c>
      <c r="EK1407">
        <v>1</v>
      </c>
      <c r="EL1407">
        <v>1</v>
      </c>
      <c r="EM1407">
        <v>1</v>
      </c>
      <c r="EN1407">
        <v>1</v>
      </c>
      <c r="EO1407">
        <v>1</v>
      </c>
      <c r="EP1407">
        <v>1</v>
      </c>
      <c r="EQ1407">
        <v>1</v>
      </c>
      <c r="ER1407">
        <v>1</v>
      </c>
      <c r="ES1407">
        <v>1</v>
      </c>
      <c r="ET1407">
        <v>1</v>
      </c>
      <c r="EU1407">
        <v>1</v>
      </c>
      <c r="EV1407">
        <v>1</v>
      </c>
      <c r="EW1407">
        <v>1</v>
      </c>
      <c r="EX1407">
        <v>1</v>
      </c>
      <c r="EY1407">
        <v>1</v>
      </c>
      <c r="EZ1407">
        <v>1</v>
      </c>
      <c r="FA1407">
        <v>1</v>
      </c>
      <c r="FB1407">
        <v>1</v>
      </c>
      <c r="FC1407">
        <v>1</v>
      </c>
      <c r="FD1407">
        <v>1</v>
      </c>
      <c r="FE1407">
        <v>1</v>
      </c>
      <c r="FF1407">
        <v>1</v>
      </c>
      <c r="FG1407">
        <v>1</v>
      </c>
      <c r="FH1407">
        <v>1</v>
      </c>
      <c r="FI1407">
        <v>1</v>
      </c>
      <c r="FJ1407">
        <v>1</v>
      </c>
      <c r="FK1407">
        <v>1</v>
      </c>
      <c r="FL1407">
        <v>1</v>
      </c>
      <c r="FM1407">
        <v>1</v>
      </c>
      <c r="FN1407">
        <v>1</v>
      </c>
      <c r="FO1407">
        <v>1</v>
      </c>
      <c r="FP1407">
        <v>1</v>
      </c>
      <c r="FQ1407">
        <v>1</v>
      </c>
      <c r="FR1407">
        <v>1</v>
      </c>
      <c r="FS1407">
        <v>1</v>
      </c>
      <c r="FT1407">
        <v>1</v>
      </c>
      <c r="FU1407">
        <v>1</v>
      </c>
      <c r="FV1407">
        <v>1</v>
      </c>
      <c r="FW1407">
        <v>1</v>
      </c>
      <c r="FX1407">
        <v>1</v>
      </c>
      <c r="FY1407">
        <v>1</v>
      </c>
      <c r="FZ1407">
        <v>1</v>
      </c>
      <c r="GA1407">
        <v>1</v>
      </c>
      <c r="GB1407">
        <v>1</v>
      </c>
    </row>
    <row r="1408" spans="1:184" x14ac:dyDescent="0.25">
      <c r="A1408" t="s">
        <v>235</v>
      </c>
      <c r="B1408" t="s">
        <v>236</v>
      </c>
      <c r="C1408" s="3">
        <v>5.29</v>
      </c>
      <c r="D1408" s="3">
        <v>103.11</v>
      </c>
      <c r="E1408" t="s">
        <v>12</v>
      </c>
      <c r="F1408" t="s">
        <v>20</v>
      </c>
      <c r="G1408" t="s">
        <v>97</v>
      </c>
      <c r="I1408" t="s">
        <v>12</v>
      </c>
      <c r="J1408" t="s">
        <v>15</v>
      </c>
      <c r="K1408" t="s">
        <v>15</v>
      </c>
      <c r="L1408" t="s">
        <v>237</v>
      </c>
      <c r="M1408" t="s">
        <v>1067</v>
      </c>
      <c r="O1408">
        <v>9.5</v>
      </c>
      <c r="P1408">
        <v>4</v>
      </c>
      <c r="EZ1408">
        <v>1</v>
      </c>
      <c r="FA1408">
        <v>1</v>
      </c>
      <c r="FB1408">
        <v>1</v>
      </c>
      <c r="FC1408">
        <v>1</v>
      </c>
      <c r="FD1408">
        <v>1</v>
      </c>
    </row>
    <row r="1409" spans="1:196" x14ac:dyDescent="0.25">
      <c r="A1409" t="s">
        <v>235</v>
      </c>
      <c r="B1409" t="s">
        <v>236</v>
      </c>
      <c r="C1409" s="3">
        <v>5.29</v>
      </c>
      <c r="D1409" s="3">
        <v>103.11</v>
      </c>
      <c r="E1409" t="s">
        <v>12</v>
      </c>
      <c r="F1409" t="s">
        <v>20</v>
      </c>
      <c r="G1409" t="s">
        <v>97</v>
      </c>
      <c r="I1409" t="s">
        <v>12</v>
      </c>
      <c r="J1409" t="s">
        <v>15</v>
      </c>
      <c r="K1409" t="s">
        <v>15</v>
      </c>
      <c r="L1409" t="s">
        <v>237</v>
      </c>
      <c r="M1409" t="s">
        <v>1067</v>
      </c>
      <c r="O1409">
        <v>8</v>
      </c>
      <c r="P1409">
        <v>2.5</v>
      </c>
      <c r="FE1409">
        <v>1</v>
      </c>
      <c r="FH1409">
        <v>1</v>
      </c>
      <c r="FI1409">
        <v>1</v>
      </c>
      <c r="FJ1409">
        <v>1</v>
      </c>
      <c r="FK1409">
        <v>1</v>
      </c>
      <c r="FL1409">
        <v>1</v>
      </c>
      <c r="FM1409">
        <v>1</v>
      </c>
      <c r="FN1409">
        <v>1</v>
      </c>
      <c r="FO1409">
        <v>1</v>
      </c>
      <c r="FP1409">
        <v>1</v>
      </c>
    </row>
    <row r="1410" spans="1:196" x14ac:dyDescent="0.25">
      <c r="A1410" t="s">
        <v>235</v>
      </c>
      <c r="B1410" t="s">
        <v>236</v>
      </c>
      <c r="C1410" s="3">
        <v>5.29</v>
      </c>
      <c r="D1410" s="3">
        <v>103.11</v>
      </c>
      <c r="E1410" t="s">
        <v>12</v>
      </c>
      <c r="F1410" t="s">
        <v>20</v>
      </c>
      <c r="G1410" t="s">
        <v>97</v>
      </c>
      <c r="I1410" t="s">
        <v>12</v>
      </c>
      <c r="J1410" t="s">
        <v>15</v>
      </c>
      <c r="K1410" t="s">
        <v>15</v>
      </c>
      <c r="L1410" t="s">
        <v>237</v>
      </c>
      <c r="M1410" t="s">
        <v>1067</v>
      </c>
      <c r="O1410">
        <v>5.3</v>
      </c>
      <c r="P1410">
        <v>1</v>
      </c>
      <c r="FW1410">
        <v>1</v>
      </c>
      <c r="FX1410">
        <v>1</v>
      </c>
      <c r="FY1410">
        <v>1</v>
      </c>
      <c r="FZ1410">
        <v>1</v>
      </c>
      <c r="GA1410">
        <v>1</v>
      </c>
      <c r="GB1410">
        <v>1</v>
      </c>
    </row>
    <row r="1411" spans="1:196" x14ac:dyDescent="0.25">
      <c r="A1411" t="s">
        <v>235</v>
      </c>
      <c r="B1411" t="s">
        <v>236</v>
      </c>
      <c r="C1411" s="3">
        <v>5.29</v>
      </c>
      <c r="D1411" s="3">
        <v>103.11</v>
      </c>
      <c r="E1411" t="s">
        <v>12</v>
      </c>
      <c r="F1411" t="s">
        <v>20</v>
      </c>
      <c r="G1411" t="s">
        <v>97</v>
      </c>
      <c r="I1411" t="s">
        <v>12</v>
      </c>
      <c r="J1411" t="s">
        <v>15</v>
      </c>
      <c r="K1411" t="s">
        <v>15</v>
      </c>
      <c r="L1411" t="s">
        <v>237</v>
      </c>
      <c r="M1411" t="s">
        <v>1067</v>
      </c>
      <c r="O1411">
        <v>5.4</v>
      </c>
      <c r="P1411">
        <v>1.5</v>
      </c>
      <c r="GI1411">
        <v>1</v>
      </c>
      <c r="GJ1411">
        <v>1</v>
      </c>
      <c r="GK1411">
        <v>1</v>
      </c>
      <c r="GL1411">
        <v>1</v>
      </c>
      <c r="GM1411">
        <v>1</v>
      </c>
      <c r="GN1411">
        <v>1</v>
      </c>
    </row>
    <row r="1412" spans="1:196" x14ac:dyDescent="0.25">
      <c r="A1412" t="s">
        <v>532</v>
      </c>
      <c r="B1412" t="s">
        <v>236</v>
      </c>
      <c r="C1412" s="3">
        <f>3+6/60</f>
        <v>3.1</v>
      </c>
      <c r="D1412" s="3">
        <f>101+39/60</f>
        <v>101.65</v>
      </c>
      <c r="E1412" t="s">
        <v>15</v>
      </c>
      <c r="F1412" t="s">
        <v>77</v>
      </c>
      <c r="G1412" t="s">
        <v>106</v>
      </c>
      <c r="I1412" t="s">
        <v>15</v>
      </c>
      <c r="J1412" t="s">
        <v>15</v>
      </c>
      <c r="K1412" t="s">
        <v>12</v>
      </c>
      <c r="L1412" t="s">
        <v>534</v>
      </c>
      <c r="M1412" t="s">
        <v>925</v>
      </c>
      <c r="O1412">
        <v>33</v>
      </c>
      <c r="BL1412">
        <v>1</v>
      </c>
      <c r="BM1412">
        <v>1</v>
      </c>
      <c r="BN1412">
        <v>1</v>
      </c>
      <c r="BO1412">
        <v>1</v>
      </c>
      <c r="BP1412">
        <v>1</v>
      </c>
      <c r="BQ1412">
        <v>1</v>
      </c>
      <c r="BR1412">
        <v>1</v>
      </c>
      <c r="BS1412">
        <v>1</v>
      </c>
      <c r="BT1412">
        <v>1</v>
      </c>
      <c r="BU1412">
        <v>1</v>
      </c>
      <c r="BV1412">
        <v>1</v>
      </c>
      <c r="BW1412">
        <v>1</v>
      </c>
      <c r="BX1412">
        <v>1</v>
      </c>
      <c r="BY1412">
        <v>1</v>
      </c>
      <c r="BZ1412">
        <v>1</v>
      </c>
      <c r="CA1412">
        <v>1</v>
      </c>
      <c r="CB1412">
        <v>1</v>
      </c>
      <c r="CC1412">
        <v>1</v>
      </c>
      <c r="CD1412">
        <v>1</v>
      </c>
      <c r="CE1412">
        <v>1</v>
      </c>
      <c r="CF1412">
        <v>1</v>
      </c>
      <c r="CG1412">
        <v>1</v>
      </c>
      <c r="CH1412">
        <v>1</v>
      </c>
      <c r="CI1412">
        <v>1</v>
      </c>
    </row>
    <row r="1413" spans="1:196" x14ac:dyDescent="0.25">
      <c r="A1413" t="s">
        <v>333</v>
      </c>
      <c r="B1413" t="s">
        <v>236</v>
      </c>
      <c r="C1413" s="3">
        <v>1.29</v>
      </c>
      <c r="D1413" s="3">
        <v>103.78</v>
      </c>
      <c r="E1413" t="s">
        <v>12</v>
      </c>
      <c r="F1413" t="s">
        <v>77</v>
      </c>
      <c r="G1413" t="s">
        <v>341</v>
      </c>
      <c r="H1413">
        <v>33</v>
      </c>
      <c r="I1413" t="s">
        <v>15</v>
      </c>
      <c r="J1413" t="s">
        <v>15</v>
      </c>
      <c r="K1413" t="s">
        <v>15</v>
      </c>
      <c r="L1413" t="s">
        <v>334</v>
      </c>
      <c r="M1413" t="s">
        <v>1046</v>
      </c>
      <c r="O1413">
        <f>AVERAGE(19.51,38.96)</f>
        <v>29.234999999999999</v>
      </c>
      <c r="P1413">
        <f>AVERAGE(3.26,8.28)</f>
        <v>5.77</v>
      </c>
      <c r="CM1413">
        <v>0.5</v>
      </c>
      <c r="CN1413">
        <v>1</v>
      </c>
      <c r="CO1413">
        <v>1</v>
      </c>
      <c r="CP1413">
        <v>1</v>
      </c>
      <c r="CQ1413">
        <v>1</v>
      </c>
      <c r="CR1413">
        <v>1</v>
      </c>
      <c r="CS1413">
        <v>1</v>
      </c>
      <c r="CT1413">
        <v>1</v>
      </c>
      <c r="CU1413">
        <v>1</v>
      </c>
      <c r="CV1413">
        <v>1</v>
      </c>
      <c r="CW1413">
        <v>1</v>
      </c>
      <c r="CX1413">
        <v>1</v>
      </c>
      <c r="CY1413">
        <v>0.5</v>
      </c>
    </row>
    <row r="1414" spans="1:196" x14ac:dyDescent="0.25">
      <c r="A1414" t="s">
        <v>319</v>
      </c>
      <c r="B1414" t="s">
        <v>188</v>
      </c>
      <c r="C1414" s="3">
        <v>20.68</v>
      </c>
      <c r="D1414" s="3">
        <v>-103.35</v>
      </c>
      <c r="E1414" t="s">
        <v>12</v>
      </c>
      <c r="F1414" t="s">
        <v>77</v>
      </c>
      <c r="G1414" t="s">
        <v>97</v>
      </c>
      <c r="H1414">
        <v>40</v>
      </c>
      <c r="I1414" t="s">
        <v>12</v>
      </c>
      <c r="J1414" t="s">
        <v>12</v>
      </c>
      <c r="K1414" t="s">
        <v>15</v>
      </c>
      <c r="L1414" t="s">
        <v>320</v>
      </c>
      <c r="M1414" t="s">
        <v>1036</v>
      </c>
      <c r="O1414">
        <v>54</v>
      </c>
      <c r="FE1414">
        <v>1</v>
      </c>
    </row>
    <row r="1415" spans="1:196" x14ac:dyDescent="0.25">
      <c r="A1415" t="s">
        <v>319</v>
      </c>
      <c r="B1415" t="s">
        <v>188</v>
      </c>
      <c r="C1415" s="3">
        <v>20.68</v>
      </c>
      <c r="D1415" s="3">
        <v>-103.35</v>
      </c>
      <c r="E1415" t="s">
        <v>12</v>
      </c>
      <c r="F1415" t="s">
        <v>77</v>
      </c>
      <c r="G1415" t="s">
        <v>97</v>
      </c>
      <c r="H1415">
        <v>40</v>
      </c>
      <c r="I1415" t="s">
        <v>12</v>
      </c>
      <c r="J1415" t="s">
        <v>12</v>
      </c>
      <c r="K1415" t="s">
        <v>15</v>
      </c>
      <c r="L1415" t="s">
        <v>320</v>
      </c>
      <c r="M1415" t="s">
        <v>1036</v>
      </c>
      <c r="O1415">
        <v>30</v>
      </c>
      <c r="FF1415">
        <v>1</v>
      </c>
    </row>
    <row r="1416" spans="1:196" x14ac:dyDescent="0.25">
      <c r="A1416" t="s">
        <v>319</v>
      </c>
      <c r="B1416" t="s">
        <v>188</v>
      </c>
      <c r="C1416" s="3">
        <v>20.68</v>
      </c>
      <c r="D1416" s="3">
        <v>-103.35</v>
      </c>
      <c r="E1416" t="s">
        <v>12</v>
      </c>
      <c r="F1416" t="s">
        <v>77</v>
      </c>
      <c r="G1416" t="s">
        <v>97</v>
      </c>
      <c r="H1416">
        <v>40</v>
      </c>
      <c r="I1416" t="s">
        <v>12</v>
      </c>
      <c r="J1416" t="s">
        <v>12</v>
      </c>
      <c r="K1416" t="s">
        <v>15</v>
      </c>
      <c r="L1416" t="s">
        <v>320</v>
      </c>
      <c r="M1416" t="s">
        <v>1036</v>
      </c>
      <c r="O1416">
        <v>41</v>
      </c>
      <c r="FG1416">
        <v>1</v>
      </c>
    </row>
    <row r="1417" spans="1:196" x14ac:dyDescent="0.25">
      <c r="A1417" t="s">
        <v>319</v>
      </c>
      <c r="B1417" t="s">
        <v>188</v>
      </c>
      <c r="C1417" s="3">
        <v>20.68</v>
      </c>
      <c r="D1417" s="3">
        <v>-103.35</v>
      </c>
      <c r="E1417" t="s">
        <v>12</v>
      </c>
      <c r="F1417" t="s">
        <v>77</v>
      </c>
      <c r="G1417" t="s">
        <v>97</v>
      </c>
      <c r="H1417">
        <v>40</v>
      </c>
      <c r="I1417" t="s">
        <v>12</v>
      </c>
      <c r="J1417" t="s">
        <v>12</v>
      </c>
      <c r="K1417" t="s">
        <v>15</v>
      </c>
      <c r="L1417" t="s">
        <v>320</v>
      </c>
      <c r="M1417" t="s">
        <v>1036</v>
      </c>
      <c r="O1417">
        <v>27</v>
      </c>
      <c r="FH1417">
        <v>1</v>
      </c>
    </row>
    <row r="1418" spans="1:196" x14ac:dyDescent="0.25">
      <c r="A1418" t="s">
        <v>319</v>
      </c>
      <c r="B1418" t="s">
        <v>188</v>
      </c>
      <c r="C1418" s="3">
        <v>20.68</v>
      </c>
      <c r="D1418" s="3">
        <v>-103.35</v>
      </c>
      <c r="E1418" t="s">
        <v>12</v>
      </c>
      <c r="F1418" t="s">
        <v>77</v>
      </c>
      <c r="G1418" t="s">
        <v>97</v>
      </c>
      <c r="H1418">
        <v>40</v>
      </c>
      <c r="I1418" t="s">
        <v>12</v>
      </c>
      <c r="J1418" t="s">
        <v>12</v>
      </c>
      <c r="K1418" t="s">
        <v>15</v>
      </c>
      <c r="L1418" t="s">
        <v>320</v>
      </c>
      <c r="M1418" t="s">
        <v>1036</v>
      </c>
      <c r="O1418">
        <v>43</v>
      </c>
      <c r="FI1418">
        <v>1</v>
      </c>
    </row>
    <row r="1419" spans="1:196" x14ac:dyDescent="0.25">
      <c r="A1419" t="s">
        <v>319</v>
      </c>
      <c r="B1419" t="s">
        <v>188</v>
      </c>
      <c r="C1419" s="3">
        <v>20.68</v>
      </c>
      <c r="D1419" s="3">
        <v>-103.35</v>
      </c>
      <c r="E1419" t="s">
        <v>12</v>
      </c>
      <c r="F1419" t="s">
        <v>77</v>
      </c>
      <c r="G1419" t="s">
        <v>97</v>
      </c>
      <c r="H1419">
        <v>40</v>
      </c>
      <c r="I1419" t="s">
        <v>12</v>
      </c>
      <c r="J1419" t="s">
        <v>12</v>
      </c>
      <c r="K1419" t="s">
        <v>15</v>
      </c>
      <c r="L1419" t="s">
        <v>320</v>
      </c>
      <c r="M1419" t="s">
        <v>1036</v>
      </c>
      <c r="O1419">
        <v>38</v>
      </c>
      <c r="FJ1419">
        <v>1</v>
      </c>
    </row>
    <row r="1420" spans="1:196" x14ac:dyDescent="0.25">
      <c r="A1420" t="s">
        <v>319</v>
      </c>
      <c r="B1420" t="s">
        <v>188</v>
      </c>
      <c r="C1420" s="3">
        <v>20.68</v>
      </c>
      <c r="D1420" s="3">
        <v>-103.35</v>
      </c>
      <c r="E1420" t="s">
        <v>12</v>
      </c>
      <c r="F1420" t="s">
        <v>77</v>
      </c>
      <c r="G1420" t="s">
        <v>97</v>
      </c>
      <c r="H1420">
        <v>40</v>
      </c>
      <c r="I1420" t="s">
        <v>12</v>
      </c>
      <c r="J1420" t="s">
        <v>12</v>
      </c>
      <c r="K1420" t="s">
        <v>15</v>
      </c>
      <c r="L1420" t="s">
        <v>320</v>
      </c>
      <c r="M1420" t="s">
        <v>1036</v>
      </c>
      <c r="O1420">
        <v>39</v>
      </c>
      <c r="FK1420">
        <v>1</v>
      </c>
    </row>
    <row r="1421" spans="1:196" x14ac:dyDescent="0.25">
      <c r="A1421" t="s">
        <v>319</v>
      </c>
      <c r="B1421" t="s">
        <v>188</v>
      </c>
      <c r="C1421" s="3">
        <v>20.68</v>
      </c>
      <c r="D1421" s="3">
        <v>-103.35</v>
      </c>
      <c r="E1421" t="s">
        <v>12</v>
      </c>
      <c r="F1421" t="s">
        <v>77</v>
      </c>
      <c r="G1421" t="s">
        <v>97</v>
      </c>
      <c r="H1421">
        <v>40</v>
      </c>
      <c r="I1421" t="s">
        <v>12</v>
      </c>
      <c r="J1421" t="s">
        <v>12</v>
      </c>
      <c r="K1421" t="s">
        <v>15</v>
      </c>
      <c r="L1421" t="s">
        <v>320</v>
      </c>
      <c r="M1421" t="s">
        <v>1036</v>
      </c>
      <c r="O1421">
        <v>47</v>
      </c>
      <c r="FL1421">
        <v>1</v>
      </c>
    </row>
    <row r="1422" spans="1:196" x14ac:dyDescent="0.25">
      <c r="A1422" t="s">
        <v>319</v>
      </c>
      <c r="B1422" t="s">
        <v>188</v>
      </c>
      <c r="C1422" s="3">
        <v>20.68</v>
      </c>
      <c r="D1422" s="3">
        <v>-103.35</v>
      </c>
      <c r="E1422" t="s">
        <v>12</v>
      </c>
      <c r="F1422" t="s">
        <v>77</v>
      </c>
      <c r="G1422" t="s">
        <v>97</v>
      </c>
      <c r="H1422">
        <v>40</v>
      </c>
      <c r="I1422" t="s">
        <v>12</v>
      </c>
      <c r="J1422" t="s">
        <v>12</v>
      </c>
      <c r="K1422" t="s">
        <v>15</v>
      </c>
      <c r="L1422" t="s">
        <v>320</v>
      </c>
      <c r="M1422" t="s">
        <v>1036</v>
      </c>
      <c r="O1422">
        <v>48</v>
      </c>
      <c r="FM1422">
        <v>1</v>
      </c>
    </row>
    <row r="1423" spans="1:196" x14ac:dyDescent="0.25">
      <c r="A1423" t="s">
        <v>319</v>
      </c>
      <c r="B1423" t="s">
        <v>188</v>
      </c>
      <c r="C1423" s="3">
        <v>20.68</v>
      </c>
      <c r="D1423" s="3">
        <v>-103.35</v>
      </c>
      <c r="E1423" t="s">
        <v>12</v>
      </c>
      <c r="F1423" t="s">
        <v>77</v>
      </c>
      <c r="G1423" t="s">
        <v>97</v>
      </c>
      <c r="H1423">
        <v>40</v>
      </c>
      <c r="I1423" t="s">
        <v>12</v>
      </c>
      <c r="J1423" t="s">
        <v>12</v>
      </c>
      <c r="K1423" t="s">
        <v>15</v>
      </c>
      <c r="L1423" t="s">
        <v>320</v>
      </c>
      <c r="M1423" t="s">
        <v>1036</v>
      </c>
      <c r="O1423">
        <v>43</v>
      </c>
      <c r="FN1423">
        <v>1</v>
      </c>
    </row>
    <row r="1424" spans="1:196" x14ac:dyDescent="0.25">
      <c r="A1424" t="s">
        <v>319</v>
      </c>
      <c r="B1424" t="s">
        <v>188</v>
      </c>
      <c r="C1424" s="3">
        <v>20.68</v>
      </c>
      <c r="D1424" s="3">
        <v>-103.35</v>
      </c>
      <c r="E1424" t="s">
        <v>12</v>
      </c>
      <c r="F1424" t="s">
        <v>77</v>
      </c>
      <c r="G1424" t="s">
        <v>97</v>
      </c>
      <c r="H1424">
        <v>40</v>
      </c>
      <c r="I1424" t="s">
        <v>12</v>
      </c>
      <c r="J1424" t="s">
        <v>12</v>
      </c>
      <c r="K1424" t="s">
        <v>15</v>
      </c>
      <c r="L1424" t="s">
        <v>320</v>
      </c>
      <c r="M1424" t="s">
        <v>1036</v>
      </c>
      <c r="O1424">
        <v>51</v>
      </c>
      <c r="FO1424">
        <v>1</v>
      </c>
    </row>
    <row r="1425" spans="1:172" x14ac:dyDescent="0.25">
      <c r="A1425" t="s">
        <v>319</v>
      </c>
      <c r="B1425" t="s">
        <v>188</v>
      </c>
      <c r="C1425" s="3">
        <v>20.68</v>
      </c>
      <c r="D1425" s="3">
        <v>-103.35</v>
      </c>
      <c r="E1425" t="s">
        <v>12</v>
      </c>
      <c r="F1425" t="s">
        <v>77</v>
      </c>
      <c r="G1425" t="s">
        <v>97</v>
      </c>
      <c r="H1425">
        <v>40</v>
      </c>
      <c r="I1425" t="s">
        <v>12</v>
      </c>
      <c r="J1425" t="s">
        <v>12</v>
      </c>
      <c r="K1425" t="s">
        <v>15</v>
      </c>
      <c r="L1425" t="s">
        <v>320</v>
      </c>
      <c r="M1425" t="s">
        <v>1036</v>
      </c>
      <c r="O1425">
        <v>47</v>
      </c>
      <c r="FP1425">
        <v>1</v>
      </c>
    </row>
    <row r="1426" spans="1:172" x14ac:dyDescent="0.25">
      <c r="A1426" t="s">
        <v>187</v>
      </c>
      <c r="B1426" t="s">
        <v>188</v>
      </c>
      <c r="C1426" s="3">
        <f>19+25/60+28/3600</f>
        <v>19.424444444444447</v>
      </c>
      <c r="D1426" s="3">
        <f>99+7/60+9/3600</f>
        <v>99.119166666666658</v>
      </c>
      <c r="E1426" t="s">
        <v>15</v>
      </c>
      <c r="F1426" t="s">
        <v>21</v>
      </c>
      <c r="G1426" t="s">
        <v>97</v>
      </c>
      <c r="I1426" t="s">
        <v>12</v>
      </c>
      <c r="J1426" t="s">
        <v>12</v>
      </c>
      <c r="K1426" t="s">
        <v>12</v>
      </c>
      <c r="L1426" t="s">
        <v>993</v>
      </c>
      <c r="M1426" t="s">
        <v>992</v>
      </c>
      <c r="N1426" t="s">
        <v>256</v>
      </c>
      <c r="O1426">
        <f>AVERAGE(28,24,29,24,26,26)</f>
        <v>26.166666666666668</v>
      </c>
      <c r="ES1426">
        <v>1</v>
      </c>
      <c r="ET1426">
        <v>1</v>
      </c>
      <c r="EU1426">
        <v>1</v>
      </c>
      <c r="EV1426">
        <v>1</v>
      </c>
      <c r="EW1426">
        <v>1</v>
      </c>
      <c r="EX1426">
        <v>1</v>
      </c>
      <c r="EY1426">
        <v>1</v>
      </c>
      <c r="EZ1426">
        <v>1</v>
      </c>
      <c r="FA1426">
        <v>1</v>
      </c>
      <c r="FB1426">
        <v>1</v>
      </c>
      <c r="FC1426">
        <v>1</v>
      </c>
      <c r="FD1426">
        <v>1</v>
      </c>
    </row>
    <row r="1427" spans="1:172" x14ac:dyDescent="0.25">
      <c r="A1427" t="s">
        <v>187</v>
      </c>
      <c r="B1427" t="s">
        <v>188</v>
      </c>
      <c r="C1427" s="3">
        <v>19.36</v>
      </c>
      <c r="D1427" s="3">
        <v>-99.28</v>
      </c>
      <c r="E1427" t="s">
        <v>12</v>
      </c>
      <c r="F1427" t="s">
        <v>21</v>
      </c>
      <c r="G1427" t="s">
        <v>106</v>
      </c>
      <c r="I1427" t="s">
        <v>12</v>
      </c>
      <c r="J1427" t="s">
        <v>12</v>
      </c>
      <c r="K1427" t="s">
        <v>12</v>
      </c>
      <c r="L1427" t="s">
        <v>659</v>
      </c>
      <c r="M1427" t="s">
        <v>860</v>
      </c>
      <c r="O1427">
        <v>11.64</v>
      </c>
      <c r="P1427">
        <v>6.05</v>
      </c>
      <c r="EF1427">
        <v>1</v>
      </c>
      <c r="EG1427">
        <v>1</v>
      </c>
      <c r="EH1427">
        <v>1</v>
      </c>
      <c r="EI1427">
        <v>1</v>
      </c>
    </row>
    <row r="1428" spans="1:172" x14ac:dyDescent="0.25">
      <c r="A1428" t="s">
        <v>187</v>
      </c>
      <c r="B1428" t="s">
        <v>188</v>
      </c>
      <c r="C1428" s="3">
        <v>19.420000000000002</v>
      </c>
      <c r="D1428" s="3">
        <v>-99.13</v>
      </c>
      <c r="E1428" t="s">
        <v>12</v>
      </c>
      <c r="F1428" t="s">
        <v>22</v>
      </c>
      <c r="G1428" t="s">
        <v>106</v>
      </c>
      <c r="I1428" t="s">
        <v>15</v>
      </c>
      <c r="J1428" t="s">
        <v>12</v>
      </c>
      <c r="K1428" t="s">
        <v>12</v>
      </c>
      <c r="L1428" t="s">
        <v>449</v>
      </c>
      <c r="M1428" t="s">
        <v>974</v>
      </c>
      <c r="O1428">
        <v>50.8</v>
      </c>
      <c r="CI1428">
        <v>1</v>
      </c>
      <c r="CM1428">
        <v>1</v>
      </c>
      <c r="CU1428">
        <v>1</v>
      </c>
      <c r="CY1428">
        <v>1</v>
      </c>
    </row>
    <row r="1429" spans="1:172" x14ac:dyDescent="0.25">
      <c r="A1429" t="s">
        <v>187</v>
      </c>
      <c r="B1429" t="s">
        <v>188</v>
      </c>
      <c r="C1429" s="3">
        <v>19.420000000000002</v>
      </c>
      <c r="D1429" s="3">
        <v>-99.13</v>
      </c>
      <c r="E1429" t="s">
        <v>12</v>
      </c>
      <c r="F1429" t="s">
        <v>21</v>
      </c>
      <c r="G1429" t="s">
        <v>106</v>
      </c>
      <c r="I1429" t="s">
        <v>15</v>
      </c>
      <c r="J1429" t="s">
        <v>12</v>
      </c>
      <c r="K1429" t="s">
        <v>12</v>
      </c>
      <c r="L1429" t="s">
        <v>449</v>
      </c>
      <c r="M1429" t="s">
        <v>974</v>
      </c>
      <c r="O1429">
        <v>22.9</v>
      </c>
      <c r="CI1429">
        <v>1</v>
      </c>
      <c r="CM1429">
        <v>1</v>
      </c>
      <c r="CU1429">
        <v>1</v>
      </c>
      <c r="CY1429">
        <v>1</v>
      </c>
    </row>
    <row r="1430" spans="1:172" x14ac:dyDescent="0.25">
      <c r="A1430" t="s">
        <v>187</v>
      </c>
      <c r="B1430" t="s">
        <v>188</v>
      </c>
      <c r="C1430" s="3">
        <v>19.420000000000002</v>
      </c>
      <c r="D1430" s="3">
        <v>-99.13</v>
      </c>
      <c r="E1430" t="s">
        <v>12</v>
      </c>
      <c r="F1430" t="s">
        <v>77</v>
      </c>
      <c r="G1430" t="s">
        <v>106</v>
      </c>
      <c r="I1430" t="s">
        <v>15</v>
      </c>
      <c r="J1430" t="s">
        <v>12</v>
      </c>
      <c r="K1430" t="s">
        <v>12</v>
      </c>
      <c r="L1430" t="s">
        <v>449</v>
      </c>
      <c r="M1430" t="s">
        <v>974</v>
      </c>
      <c r="O1430">
        <v>31.3</v>
      </c>
      <c r="CI1430">
        <v>1</v>
      </c>
      <c r="CM1430">
        <v>1</v>
      </c>
      <c r="CU1430">
        <v>1</v>
      </c>
      <c r="CY1430">
        <v>1</v>
      </c>
    </row>
    <row r="1431" spans="1:172" x14ac:dyDescent="0.25">
      <c r="A1431" t="s">
        <v>187</v>
      </c>
      <c r="B1431" t="s">
        <v>188</v>
      </c>
      <c r="C1431" s="3">
        <v>19.399999999999999</v>
      </c>
      <c r="D1431" s="3">
        <v>-99.1</v>
      </c>
      <c r="E1431" t="s">
        <v>12</v>
      </c>
      <c r="F1431" t="s">
        <v>19</v>
      </c>
      <c r="G1431" t="s">
        <v>46</v>
      </c>
      <c r="I1431" t="s">
        <v>12</v>
      </c>
      <c r="J1431" t="s">
        <v>12</v>
      </c>
      <c r="K1431" t="s">
        <v>15</v>
      </c>
      <c r="L1431" t="s">
        <v>320</v>
      </c>
      <c r="M1431" t="s">
        <v>1036</v>
      </c>
      <c r="O1431">
        <v>26.6</v>
      </c>
      <c r="ES1431">
        <v>0.25</v>
      </c>
      <c r="ET1431">
        <v>0.25</v>
      </c>
      <c r="EU1431">
        <v>0.25</v>
      </c>
      <c r="EV1431">
        <v>0.25</v>
      </c>
      <c r="EW1431">
        <v>0.25</v>
      </c>
      <c r="EX1431">
        <v>0.25</v>
      </c>
      <c r="EY1431">
        <v>0.25</v>
      </c>
      <c r="EZ1431">
        <v>0.25</v>
      </c>
      <c r="FA1431">
        <v>0.25</v>
      </c>
      <c r="FB1431">
        <v>0.25</v>
      </c>
      <c r="FC1431">
        <v>0.25</v>
      </c>
      <c r="FD1431">
        <v>0.25</v>
      </c>
    </row>
    <row r="1432" spans="1:172" x14ac:dyDescent="0.25">
      <c r="A1432" t="s">
        <v>187</v>
      </c>
      <c r="B1432" t="s">
        <v>188</v>
      </c>
      <c r="C1432" s="3">
        <v>19.507999999999999</v>
      </c>
      <c r="D1432" s="3">
        <v>-99.13</v>
      </c>
      <c r="E1432" t="s">
        <v>34</v>
      </c>
      <c r="F1432" t="s">
        <v>8</v>
      </c>
      <c r="G1432" t="s">
        <v>76</v>
      </c>
      <c r="I1432" t="s">
        <v>12</v>
      </c>
      <c r="J1432" t="s">
        <v>12</v>
      </c>
      <c r="K1432" t="s">
        <v>12</v>
      </c>
      <c r="L1432" t="s">
        <v>196</v>
      </c>
      <c r="M1432" t="s">
        <v>1085</v>
      </c>
      <c r="O1432">
        <v>47.2</v>
      </c>
      <c r="EV1432">
        <v>1</v>
      </c>
      <c r="EW1432">
        <v>1</v>
      </c>
      <c r="EX1432">
        <v>1</v>
      </c>
    </row>
    <row r="1433" spans="1:172" x14ac:dyDescent="0.25">
      <c r="A1433" t="s">
        <v>187</v>
      </c>
      <c r="B1433" t="s">
        <v>188</v>
      </c>
      <c r="C1433" s="3">
        <v>19.507999999999999</v>
      </c>
      <c r="D1433" s="3">
        <v>-99.13</v>
      </c>
      <c r="E1433" t="s">
        <v>34</v>
      </c>
      <c r="F1433" t="s">
        <v>8</v>
      </c>
      <c r="G1433" t="s">
        <v>76</v>
      </c>
      <c r="I1433" t="s">
        <v>12</v>
      </c>
      <c r="J1433" t="s">
        <v>12</v>
      </c>
      <c r="K1433" t="s">
        <v>12</v>
      </c>
      <c r="L1433" t="s">
        <v>196</v>
      </c>
      <c r="M1433" t="s">
        <v>1085</v>
      </c>
      <c r="O1433">
        <v>32.200000000000003</v>
      </c>
      <c r="EY1433">
        <v>1</v>
      </c>
      <c r="EZ1433">
        <v>1</v>
      </c>
      <c r="FA1433">
        <v>1</v>
      </c>
      <c r="FB1433">
        <v>1</v>
      </c>
    </row>
    <row r="1434" spans="1:172" x14ac:dyDescent="0.25">
      <c r="A1434" t="s">
        <v>187</v>
      </c>
      <c r="B1434" t="s">
        <v>188</v>
      </c>
      <c r="C1434" s="3">
        <v>19.507999999999999</v>
      </c>
      <c r="D1434" s="3">
        <v>-99.13</v>
      </c>
      <c r="E1434" t="s">
        <v>34</v>
      </c>
      <c r="F1434" t="s">
        <v>8</v>
      </c>
      <c r="G1434" t="s">
        <v>76</v>
      </c>
      <c r="I1434" t="s">
        <v>12</v>
      </c>
      <c r="J1434" t="s">
        <v>12</v>
      </c>
      <c r="K1434" t="s">
        <v>12</v>
      </c>
      <c r="L1434" t="s">
        <v>196</v>
      </c>
      <c r="M1434" t="s">
        <v>1085</v>
      </c>
      <c r="O1434">
        <v>46.6</v>
      </c>
      <c r="FC1434">
        <v>1</v>
      </c>
      <c r="FD1434">
        <v>1</v>
      </c>
      <c r="FE1434">
        <v>1</v>
      </c>
      <c r="FF1434">
        <v>1</v>
      </c>
    </row>
    <row r="1435" spans="1:172" x14ac:dyDescent="0.25">
      <c r="A1435" t="s">
        <v>187</v>
      </c>
      <c r="B1435" t="s">
        <v>188</v>
      </c>
      <c r="C1435" s="3">
        <v>19.420000000000002</v>
      </c>
      <c r="D1435" s="3">
        <v>-99.13</v>
      </c>
      <c r="E1435" t="s">
        <v>12</v>
      </c>
      <c r="F1435" t="s">
        <v>8</v>
      </c>
      <c r="G1435" t="s">
        <v>97</v>
      </c>
      <c r="H1435">
        <v>35</v>
      </c>
      <c r="I1435" t="s">
        <v>15</v>
      </c>
      <c r="J1435" t="s">
        <v>15</v>
      </c>
      <c r="K1435" t="s">
        <v>15</v>
      </c>
      <c r="L1435" t="s">
        <v>192</v>
      </c>
      <c r="M1435" t="s">
        <v>1086</v>
      </c>
      <c r="O1435">
        <f>AVERAGE(45,36,30)</f>
        <v>37</v>
      </c>
      <c r="DS1435">
        <v>0.5</v>
      </c>
      <c r="DT1435">
        <v>0.5</v>
      </c>
      <c r="DW1435">
        <v>0.5</v>
      </c>
    </row>
    <row r="1436" spans="1:172" x14ac:dyDescent="0.25">
      <c r="A1436" t="s">
        <v>187</v>
      </c>
      <c r="B1436" t="s">
        <v>188</v>
      </c>
      <c r="C1436" s="3">
        <v>19.420000000000002</v>
      </c>
      <c r="D1436" s="3">
        <v>-99.13</v>
      </c>
      <c r="E1436" t="s">
        <v>12</v>
      </c>
      <c r="F1436" t="s">
        <v>8</v>
      </c>
      <c r="G1436" t="s">
        <v>97</v>
      </c>
      <c r="H1436">
        <v>30</v>
      </c>
      <c r="I1436" t="s">
        <v>12</v>
      </c>
      <c r="J1436" t="s">
        <v>12</v>
      </c>
      <c r="K1436" t="s">
        <v>12</v>
      </c>
      <c r="L1436" t="s">
        <v>189</v>
      </c>
      <c r="M1436" t="s">
        <v>1088</v>
      </c>
      <c r="O1436">
        <f>AVERAGE(42.5,43.9,29.3,33.5,30.2,21.9)</f>
        <v>33.549999999999997</v>
      </c>
      <c r="AQ1436">
        <v>1</v>
      </c>
    </row>
    <row r="1437" spans="1:172" x14ac:dyDescent="0.25">
      <c r="A1437" t="s">
        <v>321</v>
      </c>
      <c r="B1437" t="s">
        <v>188</v>
      </c>
      <c r="C1437" s="3">
        <v>20.61</v>
      </c>
      <c r="D1437" s="3">
        <v>-103.35</v>
      </c>
      <c r="E1437" t="s">
        <v>12</v>
      </c>
      <c r="F1437" t="s">
        <v>22</v>
      </c>
      <c r="G1437" t="s">
        <v>97</v>
      </c>
      <c r="H1437">
        <v>40</v>
      </c>
      <c r="I1437" t="s">
        <v>12</v>
      </c>
      <c r="J1437" t="s">
        <v>12</v>
      </c>
      <c r="K1437" t="s">
        <v>15</v>
      </c>
      <c r="L1437" t="s">
        <v>320</v>
      </c>
      <c r="M1437" t="s">
        <v>1036</v>
      </c>
      <c r="O1437">
        <v>50</v>
      </c>
      <c r="FE1437">
        <v>1</v>
      </c>
    </row>
    <row r="1438" spans="1:172" x14ac:dyDescent="0.25">
      <c r="A1438" t="s">
        <v>321</v>
      </c>
      <c r="B1438" t="s">
        <v>188</v>
      </c>
      <c r="C1438" s="3">
        <v>20.61</v>
      </c>
      <c r="D1438" s="3">
        <v>-103.35</v>
      </c>
      <c r="E1438" t="s">
        <v>12</v>
      </c>
      <c r="F1438" t="s">
        <v>22</v>
      </c>
      <c r="G1438" t="s">
        <v>97</v>
      </c>
      <c r="H1438">
        <v>40</v>
      </c>
      <c r="I1438" t="s">
        <v>12</v>
      </c>
      <c r="J1438" t="s">
        <v>12</v>
      </c>
      <c r="K1438" t="s">
        <v>15</v>
      </c>
      <c r="L1438" t="s">
        <v>320</v>
      </c>
      <c r="M1438" t="s">
        <v>1036</v>
      </c>
      <c r="O1438">
        <v>80</v>
      </c>
      <c r="FF1438">
        <v>1</v>
      </c>
    </row>
    <row r="1439" spans="1:172" x14ac:dyDescent="0.25">
      <c r="A1439" t="s">
        <v>321</v>
      </c>
      <c r="B1439" t="s">
        <v>188</v>
      </c>
      <c r="C1439" s="3">
        <v>20.61</v>
      </c>
      <c r="D1439" s="3">
        <v>-103.35</v>
      </c>
      <c r="E1439" t="s">
        <v>12</v>
      </c>
      <c r="F1439" t="s">
        <v>22</v>
      </c>
      <c r="G1439" t="s">
        <v>97</v>
      </c>
      <c r="H1439">
        <v>40</v>
      </c>
      <c r="I1439" t="s">
        <v>12</v>
      </c>
      <c r="J1439" t="s">
        <v>12</v>
      </c>
      <c r="K1439" t="s">
        <v>15</v>
      </c>
      <c r="L1439" t="s">
        <v>320</v>
      </c>
      <c r="M1439" t="s">
        <v>1036</v>
      </c>
      <c r="O1439">
        <v>85</v>
      </c>
      <c r="FG1439">
        <v>1</v>
      </c>
    </row>
    <row r="1440" spans="1:172" x14ac:dyDescent="0.25">
      <c r="A1440" t="s">
        <v>321</v>
      </c>
      <c r="B1440" t="s">
        <v>188</v>
      </c>
      <c r="C1440" s="3">
        <v>20.61</v>
      </c>
      <c r="D1440" s="3">
        <v>-103.35</v>
      </c>
      <c r="E1440" t="s">
        <v>12</v>
      </c>
      <c r="F1440" t="s">
        <v>22</v>
      </c>
      <c r="G1440" t="s">
        <v>97</v>
      </c>
      <c r="H1440">
        <v>40</v>
      </c>
      <c r="I1440" t="s">
        <v>12</v>
      </c>
      <c r="J1440" t="s">
        <v>12</v>
      </c>
      <c r="K1440" t="s">
        <v>15</v>
      </c>
      <c r="L1440" t="s">
        <v>320</v>
      </c>
      <c r="M1440" t="s">
        <v>1036</v>
      </c>
      <c r="O1440">
        <v>38</v>
      </c>
      <c r="FH1440">
        <v>1</v>
      </c>
    </row>
    <row r="1441" spans="1:172" x14ac:dyDescent="0.25">
      <c r="A1441" t="s">
        <v>321</v>
      </c>
      <c r="B1441" t="s">
        <v>188</v>
      </c>
      <c r="C1441" s="3">
        <v>20.61</v>
      </c>
      <c r="D1441" s="3">
        <v>-103.35</v>
      </c>
      <c r="E1441" t="s">
        <v>12</v>
      </c>
      <c r="F1441" t="s">
        <v>22</v>
      </c>
      <c r="G1441" t="s">
        <v>97</v>
      </c>
      <c r="H1441">
        <v>40</v>
      </c>
      <c r="I1441" t="s">
        <v>12</v>
      </c>
      <c r="J1441" t="s">
        <v>12</v>
      </c>
      <c r="K1441" t="s">
        <v>15</v>
      </c>
      <c r="L1441" t="s">
        <v>320</v>
      </c>
      <c r="M1441" t="s">
        <v>1036</v>
      </c>
      <c r="O1441">
        <v>86</v>
      </c>
      <c r="FI1441">
        <v>1</v>
      </c>
    </row>
    <row r="1442" spans="1:172" x14ac:dyDescent="0.25">
      <c r="A1442" t="s">
        <v>321</v>
      </c>
      <c r="B1442" t="s">
        <v>188</v>
      </c>
      <c r="C1442" s="3">
        <v>20.61</v>
      </c>
      <c r="D1442" s="3">
        <v>-103.35</v>
      </c>
      <c r="E1442" t="s">
        <v>12</v>
      </c>
      <c r="F1442" t="s">
        <v>22</v>
      </c>
      <c r="G1442" t="s">
        <v>97</v>
      </c>
      <c r="H1442">
        <v>40</v>
      </c>
      <c r="I1442" t="s">
        <v>12</v>
      </c>
      <c r="J1442" t="s">
        <v>12</v>
      </c>
      <c r="K1442" t="s">
        <v>15</v>
      </c>
      <c r="L1442" t="s">
        <v>320</v>
      </c>
      <c r="M1442" t="s">
        <v>1036</v>
      </c>
      <c r="O1442">
        <v>50</v>
      </c>
      <c r="FJ1442">
        <v>1</v>
      </c>
    </row>
    <row r="1443" spans="1:172" x14ac:dyDescent="0.25">
      <c r="A1443" t="s">
        <v>321</v>
      </c>
      <c r="B1443" t="s">
        <v>188</v>
      </c>
      <c r="C1443" s="3">
        <v>20.61</v>
      </c>
      <c r="D1443" s="3">
        <v>-103.35</v>
      </c>
      <c r="E1443" t="s">
        <v>12</v>
      </c>
      <c r="F1443" t="s">
        <v>22</v>
      </c>
      <c r="G1443" t="s">
        <v>97</v>
      </c>
      <c r="H1443">
        <v>40</v>
      </c>
      <c r="I1443" t="s">
        <v>12</v>
      </c>
      <c r="J1443" t="s">
        <v>12</v>
      </c>
      <c r="K1443" t="s">
        <v>15</v>
      </c>
      <c r="L1443" t="s">
        <v>320</v>
      </c>
      <c r="M1443" t="s">
        <v>1036</v>
      </c>
      <c r="O1443">
        <v>35</v>
      </c>
      <c r="FK1443">
        <v>1</v>
      </c>
    </row>
    <row r="1444" spans="1:172" x14ac:dyDescent="0.25">
      <c r="A1444" t="s">
        <v>321</v>
      </c>
      <c r="B1444" t="s">
        <v>188</v>
      </c>
      <c r="C1444" s="3">
        <v>20.61</v>
      </c>
      <c r="D1444" s="3">
        <v>-103.35</v>
      </c>
      <c r="E1444" t="s">
        <v>12</v>
      </c>
      <c r="F1444" t="s">
        <v>22</v>
      </c>
      <c r="G1444" t="s">
        <v>97</v>
      </c>
      <c r="H1444">
        <v>40</v>
      </c>
      <c r="I1444" t="s">
        <v>12</v>
      </c>
      <c r="J1444" t="s">
        <v>12</v>
      </c>
      <c r="K1444" t="s">
        <v>15</v>
      </c>
      <c r="L1444" t="s">
        <v>320</v>
      </c>
      <c r="M1444" t="s">
        <v>1036</v>
      </c>
      <c r="O1444">
        <v>42</v>
      </c>
      <c r="FL1444">
        <v>1</v>
      </c>
    </row>
    <row r="1445" spans="1:172" x14ac:dyDescent="0.25">
      <c r="A1445" t="s">
        <v>321</v>
      </c>
      <c r="B1445" t="s">
        <v>188</v>
      </c>
      <c r="C1445" s="3">
        <v>20.61</v>
      </c>
      <c r="D1445" s="3">
        <v>-103.35</v>
      </c>
      <c r="E1445" t="s">
        <v>12</v>
      </c>
      <c r="F1445" t="s">
        <v>22</v>
      </c>
      <c r="G1445" t="s">
        <v>97</v>
      </c>
      <c r="H1445">
        <v>40</v>
      </c>
      <c r="I1445" t="s">
        <v>12</v>
      </c>
      <c r="J1445" t="s">
        <v>12</v>
      </c>
      <c r="K1445" t="s">
        <v>15</v>
      </c>
      <c r="L1445" t="s">
        <v>320</v>
      </c>
      <c r="M1445" t="s">
        <v>1036</v>
      </c>
      <c r="O1445">
        <v>51</v>
      </c>
      <c r="FM1445">
        <v>1</v>
      </c>
    </row>
    <row r="1446" spans="1:172" x14ac:dyDescent="0.25">
      <c r="A1446" t="s">
        <v>321</v>
      </c>
      <c r="B1446" t="s">
        <v>188</v>
      </c>
      <c r="C1446" s="3">
        <v>20.61</v>
      </c>
      <c r="D1446" s="3">
        <v>-103.35</v>
      </c>
      <c r="E1446" t="s">
        <v>12</v>
      </c>
      <c r="F1446" t="s">
        <v>22</v>
      </c>
      <c r="G1446" t="s">
        <v>97</v>
      </c>
      <c r="H1446">
        <v>40</v>
      </c>
      <c r="I1446" t="s">
        <v>12</v>
      </c>
      <c r="J1446" t="s">
        <v>12</v>
      </c>
      <c r="K1446" t="s">
        <v>15</v>
      </c>
      <c r="L1446" t="s">
        <v>320</v>
      </c>
      <c r="M1446" t="s">
        <v>1036</v>
      </c>
      <c r="O1446">
        <v>45</v>
      </c>
      <c r="FN1446">
        <v>1</v>
      </c>
    </row>
    <row r="1447" spans="1:172" x14ac:dyDescent="0.25">
      <c r="A1447" t="s">
        <v>321</v>
      </c>
      <c r="B1447" t="s">
        <v>188</v>
      </c>
      <c r="C1447" s="3">
        <v>20.61</v>
      </c>
      <c r="D1447" s="3">
        <v>-103.35</v>
      </c>
      <c r="E1447" t="s">
        <v>12</v>
      </c>
      <c r="F1447" t="s">
        <v>22</v>
      </c>
      <c r="G1447" t="s">
        <v>97</v>
      </c>
      <c r="H1447">
        <v>40</v>
      </c>
      <c r="I1447" t="s">
        <v>12</v>
      </c>
      <c r="J1447" t="s">
        <v>12</v>
      </c>
      <c r="K1447" t="s">
        <v>15</v>
      </c>
      <c r="L1447" t="s">
        <v>320</v>
      </c>
      <c r="M1447" t="s">
        <v>1036</v>
      </c>
      <c r="O1447">
        <v>65</v>
      </c>
      <c r="FO1447">
        <v>1</v>
      </c>
    </row>
    <row r="1448" spans="1:172" x14ac:dyDescent="0.25">
      <c r="A1448" t="s">
        <v>321</v>
      </c>
      <c r="B1448" t="s">
        <v>188</v>
      </c>
      <c r="C1448" s="3">
        <v>20.61</v>
      </c>
      <c r="D1448" s="3">
        <v>-103.35</v>
      </c>
      <c r="E1448" t="s">
        <v>12</v>
      </c>
      <c r="F1448" t="s">
        <v>22</v>
      </c>
      <c r="G1448" t="s">
        <v>97</v>
      </c>
      <c r="H1448">
        <v>40</v>
      </c>
      <c r="I1448" t="s">
        <v>12</v>
      </c>
      <c r="J1448" t="s">
        <v>12</v>
      </c>
      <c r="K1448" t="s">
        <v>15</v>
      </c>
      <c r="L1448" t="s">
        <v>320</v>
      </c>
      <c r="M1448" t="s">
        <v>1036</v>
      </c>
      <c r="O1448">
        <v>78</v>
      </c>
      <c r="FP1448">
        <v>1</v>
      </c>
    </row>
    <row r="1449" spans="1:172" x14ac:dyDescent="0.25">
      <c r="A1449" t="s">
        <v>322</v>
      </c>
      <c r="B1449" t="s">
        <v>188</v>
      </c>
      <c r="C1449" s="3">
        <v>25.68</v>
      </c>
      <c r="D1449" s="3">
        <v>-100.31</v>
      </c>
      <c r="E1449" t="s">
        <v>12</v>
      </c>
      <c r="F1449" t="s">
        <v>77</v>
      </c>
      <c r="G1449" t="s">
        <v>46</v>
      </c>
      <c r="I1449" t="s">
        <v>12</v>
      </c>
      <c r="J1449" t="s">
        <v>12</v>
      </c>
      <c r="K1449" t="s">
        <v>12</v>
      </c>
      <c r="L1449" t="s">
        <v>440</v>
      </c>
      <c r="M1449" t="s">
        <v>981</v>
      </c>
      <c r="O1449">
        <v>24.91</v>
      </c>
      <c r="DI1449">
        <v>1</v>
      </c>
      <c r="DJ1449">
        <v>1</v>
      </c>
      <c r="DK1449">
        <v>1</v>
      </c>
      <c r="DL1449">
        <v>1</v>
      </c>
      <c r="DM1449">
        <v>1</v>
      </c>
      <c r="DN1449">
        <v>1</v>
      </c>
      <c r="DO1449">
        <v>1</v>
      </c>
      <c r="DP1449">
        <v>1</v>
      </c>
      <c r="DQ1449">
        <v>1</v>
      </c>
      <c r="DR1449">
        <v>1</v>
      </c>
      <c r="DS1449">
        <v>1</v>
      </c>
      <c r="DT1449">
        <v>1</v>
      </c>
    </row>
    <row r="1450" spans="1:172" x14ac:dyDescent="0.25">
      <c r="A1450" t="s">
        <v>322</v>
      </c>
      <c r="B1450" t="s">
        <v>188</v>
      </c>
      <c r="C1450" s="3">
        <v>25.68</v>
      </c>
      <c r="D1450" s="3">
        <v>-100.31</v>
      </c>
      <c r="E1450" t="s">
        <v>12</v>
      </c>
      <c r="F1450" t="s">
        <v>77</v>
      </c>
      <c r="G1450" t="s">
        <v>46</v>
      </c>
      <c r="I1450" t="s">
        <v>12</v>
      </c>
      <c r="J1450" t="s">
        <v>12</v>
      </c>
      <c r="K1450" t="s">
        <v>12</v>
      </c>
      <c r="L1450" t="s">
        <v>440</v>
      </c>
      <c r="M1450" t="s">
        <v>981</v>
      </c>
      <c r="O1450">
        <v>26.89</v>
      </c>
      <c r="DI1450">
        <v>1</v>
      </c>
      <c r="DJ1450">
        <v>1</v>
      </c>
      <c r="DK1450">
        <v>1</v>
      </c>
      <c r="DL1450">
        <v>1</v>
      </c>
      <c r="DM1450">
        <v>1</v>
      </c>
      <c r="DN1450">
        <v>1</v>
      </c>
      <c r="DO1450">
        <v>1</v>
      </c>
      <c r="DP1450">
        <v>1</v>
      </c>
      <c r="DQ1450">
        <v>1</v>
      </c>
      <c r="DR1450">
        <v>1</v>
      </c>
      <c r="DS1450">
        <v>1</v>
      </c>
      <c r="DT1450">
        <v>1</v>
      </c>
    </row>
    <row r="1451" spans="1:172" x14ac:dyDescent="0.25">
      <c r="A1451" t="s">
        <v>322</v>
      </c>
      <c r="B1451" t="s">
        <v>188</v>
      </c>
      <c r="C1451" s="3">
        <v>25.68</v>
      </c>
      <c r="D1451" s="3">
        <v>-100.31</v>
      </c>
      <c r="E1451" t="s">
        <v>12</v>
      </c>
      <c r="F1451" t="s">
        <v>77</v>
      </c>
      <c r="G1451" t="s">
        <v>46</v>
      </c>
      <c r="I1451" t="s">
        <v>12</v>
      </c>
      <c r="J1451" t="s">
        <v>12</v>
      </c>
      <c r="K1451" t="s">
        <v>12</v>
      </c>
      <c r="L1451" t="s">
        <v>440</v>
      </c>
      <c r="M1451" t="s">
        <v>981</v>
      </c>
      <c r="O1451">
        <v>25.45</v>
      </c>
      <c r="DI1451">
        <v>1</v>
      </c>
      <c r="DJ1451">
        <v>1</v>
      </c>
      <c r="DK1451">
        <v>1</v>
      </c>
      <c r="DL1451">
        <v>1</v>
      </c>
      <c r="DM1451">
        <v>1</v>
      </c>
      <c r="DN1451">
        <v>1</v>
      </c>
      <c r="DO1451">
        <v>1</v>
      </c>
      <c r="DP1451">
        <v>1</v>
      </c>
      <c r="DQ1451">
        <v>1</v>
      </c>
      <c r="DR1451">
        <v>1</v>
      </c>
      <c r="DS1451">
        <v>1</v>
      </c>
      <c r="DT1451">
        <v>1</v>
      </c>
    </row>
    <row r="1452" spans="1:172" x14ac:dyDescent="0.25">
      <c r="A1452" t="s">
        <v>322</v>
      </c>
      <c r="B1452" t="s">
        <v>188</v>
      </c>
      <c r="C1452" s="3">
        <v>25.68</v>
      </c>
      <c r="D1452" s="3">
        <v>-100.31</v>
      </c>
      <c r="E1452" t="s">
        <v>12</v>
      </c>
      <c r="F1452" t="s">
        <v>77</v>
      </c>
      <c r="G1452" t="s">
        <v>46</v>
      </c>
      <c r="I1452" t="s">
        <v>12</v>
      </c>
      <c r="J1452" t="s">
        <v>12</v>
      </c>
      <c r="K1452" t="s">
        <v>12</v>
      </c>
      <c r="L1452" t="s">
        <v>440</v>
      </c>
      <c r="M1452" t="s">
        <v>981</v>
      </c>
      <c r="O1452">
        <v>26.86</v>
      </c>
      <c r="DI1452">
        <v>1</v>
      </c>
      <c r="DJ1452">
        <v>1</v>
      </c>
      <c r="DK1452">
        <v>1</v>
      </c>
      <c r="DL1452">
        <v>1</v>
      </c>
      <c r="DM1452">
        <v>1</v>
      </c>
      <c r="DN1452">
        <v>1</v>
      </c>
      <c r="DO1452">
        <v>1</v>
      </c>
      <c r="DP1452">
        <v>1</v>
      </c>
      <c r="DQ1452">
        <v>1</v>
      </c>
      <c r="DR1452">
        <v>1</v>
      </c>
      <c r="DS1452">
        <v>1</v>
      </c>
      <c r="DT1452">
        <v>1</v>
      </c>
    </row>
    <row r="1453" spans="1:172" x14ac:dyDescent="0.25">
      <c r="A1453" t="s">
        <v>322</v>
      </c>
      <c r="B1453" t="s">
        <v>188</v>
      </c>
      <c r="C1453" s="3">
        <v>25.68</v>
      </c>
      <c r="D1453" s="3">
        <v>-100.31</v>
      </c>
      <c r="E1453" t="s">
        <v>12</v>
      </c>
      <c r="F1453" t="s">
        <v>77</v>
      </c>
      <c r="G1453" t="s">
        <v>46</v>
      </c>
      <c r="I1453" t="s">
        <v>12</v>
      </c>
      <c r="J1453" t="s">
        <v>12</v>
      </c>
      <c r="K1453" t="s">
        <v>12</v>
      </c>
      <c r="L1453" t="s">
        <v>440</v>
      </c>
      <c r="M1453" t="s">
        <v>981</v>
      </c>
      <c r="O1453">
        <v>34.17</v>
      </c>
      <c r="DI1453">
        <v>1</v>
      </c>
      <c r="DJ1453">
        <v>1</v>
      </c>
      <c r="DK1453">
        <v>1</v>
      </c>
      <c r="DL1453">
        <v>1</v>
      </c>
      <c r="DM1453">
        <v>1</v>
      </c>
      <c r="DN1453">
        <v>1</v>
      </c>
      <c r="DO1453">
        <v>1</v>
      </c>
      <c r="DP1453">
        <v>1</v>
      </c>
      <c r="DQ1453">
        <v>1</v>
      </c>
      <c r="DR1453">
        <v>1</v>
      </c>
      <c r="DS1453">
        <v>1</v>
      </c>
      <c r="DT1453">
        <v>1</v>
      </c>
    </row>
    <row r="1454" spans="1:172" x14ac:dyDescent="0.25">
      <c r="A1454" t="s">
        <v>322</v>
      </c>
      <c r="B1454" t="s">
        <v>188</v>
      </c>
      <c r="C1454" s="3">
        <v>25.68</v>
      </c>
      <c r="D1454" s="3">
        <v>-100.31</v>
      </c>
      <c r="E1454" t="s">
        <v>12</v>
      </c>
      <c r="F1454" t="s">
        <v>77</v>
      </c>
      <c r="G1454" t="s">
        <v>46</v>
      </c>
      <c r="I1454" t="s">
        <v>12</v>
      </c>
      <c r="J1454" t="s">
        <v>12</v>
      </c>
      <c r="K1454" t="s">
        <v>12</v>
      </c>
      <c r="L1454" t="s">
        <v>440</v>
      </c>
      <c r="M1454" t="s">
        <v>981</v>
      </c>
      <c r="O1454">
        <v>25.16</v>
      </c>
      <c r="DU1454">
        <v>1</v>
      </c>
      <c r="DV1454">
        <v>1</v>
      </c>
      <c r="DW1454">
        <v>1</v>
      </c>
      <c r="DX1454">
        <v>1</v>
      </c>
      <c r="DY1454">
        <v>1</v>
      </c>
      <c r="DZ1454">
        <v>1</v>
      </c>
      <c r="EA1454">
        <v>1</v>
      </c>
      <c r="EB1454">
        <v>1</v>
      </c>
      <c r="EC1454">
        <v>1</v>
      </c>
      <c r="ED1454">
        <v>1</v>
      </c>
      <c r="EE1454">
        <v>1</v>
      </c>
      <c r="EF1454">
        <v>1</v>
      </c>
    </row>
    <row r="1455" spans="1:172" x14ac:dyDescent="0.25">
      <c r="A1455" t="s">
        <v>322</v>
      </c>
      <c r="B1455" t="s">
        <v>188</v>
      </c>
      <c r="C1455" s="3">
        <v>25.68</v>
      </c>
      <c r="D1455" s="3">
        <v>-100.31</v>
      </c>
      <c r="E1455" t="s">
        <v>12</v>
      </c>
      <c r="F1455" t="s">
        <v>77</v>
      </c>
      <c r="G1455" t="s">
        <v>46</v>
      </c>
      <c r="I1455" t="s">
        <v>12</v>
      </c>
      <c r="J1455" t="s">
        <v>12</v>
      </c>
      <c r="K1455" t="s">
        <v>12</v>
      </c>
      <c r="L1455" t="s">
        <v>440</v>
      </c>
      <c r="M1455" t="s">
        <v>981</v>
      </c>
      <c r="O1455">
        <v>30.84</v>
      </c>
      <c r="DU1455">
        <v>1</v>
      </c>
      <c r="DV1455">
        <v>1</v>
      </c>
      <c r="DW1455">
        <v>1</v>
      </c>
      <c r="DX1455">
        <v>1</v>
      </c>
      <c r="DY1455">
        <v>1</v>
      </c>
      <c r="DZ1455">
        <v>1</v>
      </c>
      <c r="EA1455">
        <v>1</v>
      </c>
      <c r="EB1455">
        <v>1</v>
      </c>
      <c r="EC1455">
        <v>1</v>
      </c>
      <c r="ED1455">
        <v>1</v>
      </c>
      <c r="EE1455">
        <v>1</v>
      </c>
      <c r="EF1455">
        <v>1</v>
      </c>
    </row>
    <row r="1456" spans="1:172" x14ac:dyDescent="0.25">
      <c r="A1456" t="s">
        <v>322</v>
      </c>
      <c r="B1456" t="s">
        <v>188</v>
      </c>
      <c r="C1456" s="3">
        <v>25.68</v>
      </c>
      <c r="D1456" s="3">
        <v>-100.31</v>
      </c>
      <c r="E1456" t="s">
        <v>12</v>
      </c>
      <c r="F1456" t="s">
        <v>77</v>
      </c>
      <c r="G1456" t="s">
        <v>46</v>
      </c>
      <c r="I1456" t="s">
        <v>12</v>
      </c>
      <c r="J1456" t="s">
        <v>12</v>
      </c>
      <c r="K1456" t="s">
        <v>12</v>
      </c>
      <c r="L1456" t="s">
        <v>440</v>
      </c>
      <c r="M1456" t="s">
        <v>981</v>
      </c>
      <c r="O1456">
        <v>29.11</v>
      </c>
      <c r="DU1456">
        <v>1</v>
      </c>
      <c r="DV1456">
        <v>1</v>
      </c>
      <c r="DW1456">
        <v>1</v>
      </c>
      <c r="DX1456">
        <v>1</v>
      </c>
      <c r="DY1456">
        <v>1</v>
      </c>
      <c r="DZ1456">
        <v>1</v>
      </c>
      <c r="EA1456">
        <v>1</v>
      </c>
      <c r="EB1456">
        <v>1</v>
      </c>
      <c r="EC1456">
        <v>1</v>
      </c>
      <c r="ED1456">
        <v>1</v>
      </c>
      <c r="EE1456">
        <v>1</v>
      </c>
      <c r="EF1456">
        <v>1</v>
      </c>
    </row>
    <row r="1457" spans="1:172" x14ac:dyDescent="0.25">
      <c r="A1457" t="s">
        <v>322</v>
      </c>
      <c r="B1457" t="s">
        <v>188</v>
      </c>
      <c r="C1457" s="3">
        <v>25.68</v>
      </c>
      <c r="D1457" s="3">
        <v>-100.31</v>
      </c>
      <c r="E1457" t="s">
        <v>12</v>
      </c>
      <c r="F1457" t="s">
        <v>77</v>
      </c>
      <c r="G1457" t="s">
        <v>46</v>
      </c>
      <c r="I1457" t="s">
        <v>12</v>
      </c>
      <c r="J1457" t="s">
        <v>12</v>
      </c>
      <c r="K1457" t="s">
        <v>12</v>
      </c>
      <c r="L1457" t="s">
        <v>440</v>
      </c>
      <c r="M1457" t="s">
        <v>981</v>
      </c>
      <c r="O1457">
        <v>28.11</v>
      </c>
      <c r="DU1457">
        <v>1</v>
      </c>
      <c r="DV1457">
        <v>1</v>
      </c>
      <c r="DW1457">
        <v>1</v>
      </c>
      <c r="DX1457">
        <v>1</v>
      </c>
      <c r="DY1457">
        <v>1</v>
      </c>
      <c r="DZ1457">
        <v>1</v>
      </c>
      <c r="EA1457">
        <v>1</v>
      </c>
      <c r="EB1457">
        <v>1</v>
      </c>
      <c r="EC1457">
        <v>1</v>
      </c>
      <c r="ED1457">
        <v>1</v>
      </c>
      <c r="EE1457">
        <v>1</v>
      </c>
      <c r="EF1457">
        <v>1</v>
      </c>
    </row>
    <row r="1458" spans="1:172" x14ac:dyDescent="0.25">
      <c r="A1458" t="s">
        <v>322</v>
      </c>
      <c r="B1458" t="s">
        <v>188</v>
      </c>
      <c r="C1458" s="3">
        <v>25.68</v>
      </c>
      <c r="D1458" s="3">
        <v>-100.31</v>
      </c>
      <c r="E1458" t="s">
        <v>12</v>
      </c>
      <c r="F1458" t="s">
        <v>77</v>
      </c>
      <c r="G1458" t="s">
        <v>46</v>
      </c>
      <c r="I1458" t="s">
        <v>12</v>
      </c>
      <c r="J1458" t="s">
        <v>12</v>
      </c>
      <c r="K1458" t="s">
        <v>12</v>
      </c>
      <c r="L1458" t="s">
        <v>440</v>
      </c>
      <c r="M1458" t="s">
        <v>981</v>
      </c>
      <c r="O1458">
        <v>34.61</v>
      </c>
      <c r="DU1458">
        <v>1</v>
      </c>
      <c r="DV1458">
        <v>1</v>
      </c>
      <c r="DW1458">
        <v>1</v>
      </c>
      <c r="DX1458">
        <v>1</v>
      </c>
      <c r="DY1458">
        <v>1</v>
      </c>
      <c r="DZ1458">
        <v>1</v>
      </c>
      <c r="EA1458">
        <v>1</v>
      </c>
      <c r="EB1458">
        <v>1</v>
      </c>
      <c r="EC1458">
        <v>1</v>
      </c>
      <c r="ED1458">
        <v>1</v>
      </c>
      <c r="EE1458">
        <v>1</v>
      </c>
      <c r="EF1458">
        <v>1</v>
      </c>
    </row>
    <row r="1459" spans="1:172" x14ac:dyDescent="0.25">
      <c r="A1459" t="s">
        <v>322</v>
      </c>
      <c r="B1459" t="s">
        <v>188</v>
      </c>
      <c r="C1459" s="3">
        <v>25.68</v>
      </c>
      <c r="D1459" s="3">
        <v>-100.31</v>
      </c>
      <c r="E1459" t="s">
        <v>12</v>
      </c>
      <c r="F1459" t="s">
        <v>77</v>
      </c>
      <c r="G1459" t="s">
        <v>46</v>
      </c>
      <c r="I1459" t="s">
        <v>12</v>
      </c>
      <c r="J1459" t="s">
        <v>12</v>
      </c>
      <c r="K1459" t="s">
        <v>12</v>
      </c>
      <c r="L1459" t="s">
        <v>440</v>
      </c>
      <c r="M1459" t="s">
        <v>981</v>
      </c>
      <c r="O1459">
        <v>27.63</v>
      </c>
      <c r="EG1459">
        <v>1</v>
      </c>
      <c r="EH1459">
        <v>1</v>
      </c>
      <c r="EI1459">
        <v>1</v>
      </c>
      <c r="EJ1459">
        <v>1</v>
      </c>
      <c r="EK1459">
        <v>1</v>
      </c>
      <c r="EL1459">
        <v>1</v>
      </c>
      <c r="EM1459">
        <v>1</v>
      </c>
      <c r="EN1459">
        <v>1</v>
      </c>
      <c r="EO1459">
        <v>1</v>
      </c>
      <c r="EP1459">
        <v>1</v>
      </c>
      <c r="EQ1459">
        <v>1</v>
      </c>
      <c r="ER1459">
        <v>1</v>
      </c>
    </row>
    <row r="1460" spans="1:172" x14ac:dyDescent="0.25">
      <c r="A1460" t="s">
        <v>322</v>
      </c>
      <c r="B1460" t="s">
        <v>188</v>
      </c>
      <c r="C1460" s="3">
        <v>25.68</v>
      </c>
      <c r="D1460" s="3">
        <v>-100.31</v>
      </c>
      <c r="E1460" t="s">
        <v>12</v>
      </c>
      <c r="F1460" t="s">
        <v>77</v>
      </c>
      <c r="G1460" t="s">
        <v>46</v>
      </c>
      <c r="I1460" t="s">
        <v>12</v>
      </c>
      <c r="J1460" t="s">
        <v>12</v>
      </c>
      <c r="K1460" t="s">
        <v>12</v>
      </c>
      <c r="L1460" t="s">
        <v>440</v>
      </c>
      <c r="M1460" t="s">
        <v>981</v>
      </c>
      <c r="O1460">
        <v>26.56</v>
      </c>
      <c r="EG1460">
        <v>1</v>
      </c>
      <c r="EH1460">
        <v>1</v>
      </c>
      <c r="EI1460">
        <v>1</v>
      </c>
      <c r="EJ1460">
        <v>1</v>
      </c>
      <c r="EK1460">
        <v>1</v>
      </c>
      <c r="EL1460">
        <v>1</v>
      </c>
      <c r="EM1460">
        <v>1</v>
      </c>
      <c r="EN1460">
        <v>1</v>
      </c>
      <c r="EO1460">
        <v>1</v>
      </c>
      <c r="EP1460">
        <v>1</v>
      </c>
      <c r="EQ1460">
        <v>1</v>
      </c>
      <c r="ER1460">
        <v>1</v>
      </c>
    </row>
    <row r="1461" spans="1:172" x14ac:dyDescent="0.25">
      <c r="A1461" t="s">
        <v>322</v>
      </c>
      <c r="B1461" t="s">
        <v>188</v>
      </c>
      <c r="C1461" s="3">
        <v>25.68</v>
      </c>
      <c r="D1461" s="3">
        <v>-100.31</v>
      </c>
      <c r="E1461" t="s">
        <v>12</v>
      </c>
      <c r="F1461" t="s">
        <v>77</v>
      </c>
      <c r="G1461" t="s">
        <v>46</v>
      </c>
      <c r="I1461" t="s">
        <v>12</v>
      </c>
      <c r="J1461" t="s">
        <v>12</v>
      </c>
      <c r="K1461" t="s">
        <v>12</v>
      </c>
      <c r="L1461" t="s">
        <v>440</v>
      </c>
      <c r="M1461" t="s">
        <v>981</v>
      </c>
      <c r="O1461">
        <v>25.42</v>
      </c>
      <c r="EG1461">
        <v>1</v>
      </c>
      <c r="EH1461">
        <v>1</v>
      </c>
      <c r="EI1461">
        <v>1</v>
      </c>
      <c r="EJ1461">
        <v>1</v>
      </c>
      <c r="EK1461">
        <v>1</v>
      </c>
      <c r="EL1461">
        <v>1</v>
      </c>
      <c r="EM1461">
        <v>1</v>
      </c>
      <c r="EN1461">
        <v>1</v>
      </c>
      <c r="EO1461">
        <v>1</v>
      </c>
      <c r="EP1461">
        <v>1</v>
      </c>
      <c r="EQ1461">
        <v>1</v>
      </c>
      <c r="ER1461">
        <v>1</v>
      </c>
    </row>
    <row r="1462" spans="1:172" x14ac:dyDescent="0.25">
      <c r="A1462" t="s">
        <v>322</v>
      </c>
      <c r="B1462" t="s">
        <v>188</v>
      </c>
      <c r="C1462" s="3">
        <v>25.68</v>
      </c>
      <c r="D1462" s="3">
        <v>-100.31</v>
      </c>
      <c r="E1462" t="s">
        <v>12</v>
      </c>
      <c r="F1462" t="s">
        <v>77</v>
      </c>
      <c r="G1462" t="s">
        <v>46</v>
      </c>
      <c r="I1462" t="s">
        <v>12</v>
      </c>
      <c r="J1462" t="s">
        <v>12</v>
      </c>
      <c r="K1462" t="s">
        <v>12</v>
      </c>
      <c r="L1462" t="s">
        <v>440</v>
      </c>
      <c r="M1462" t="s">
        <v>981</v>
      </c>
      <c r="O1462">
        <v>32.520000000000003</v>
      </c>
      <c r="EG1462">
        <v>1</v>
      </c>
      <c r="EH1462">
        <v>1</v>
      </c>
      <c r="EI1462">
        <v>1</v>
      </c>
      <c r="EJ1462">
        <v>1</v>
      </c>
      <c r="EK1462">
        <v>1</v>
      </c>
      <c r="EL1462">
        <v>1</v>
      </c>
      <c r="EM1462">
        <v>1</v>
      </c>
      <c r="EN1462">
        <v>1</v>
      </c>
      <c r="EO1462">
        <v>1</v>
      </c>
      <c r="EP1462">
        <v>1</v>
      </c>
      <c r="EQ1462">
        <v>1</v>
      </c>
      <c r="ER1462">
        <v>1</v>
      </c>
    </row>
    <row r="1463" spans="1:172" x14ac:dyDescent="0.25">
      <c r="A1463" t="s">
        <v>322</v>
      </c>
      <c r="B1463" t="s">
        <v>188</v>
      </c>
      <c r="C1463" s="3">
        <v>25.68</v>
      </c>
      <c r="D1463" s="3">
        <v>-100.31</v>
      </c>
      <c r="E1463" t="s">
        <v>12</v>
      </c>
      <c r="F1463" t="s">
        <v>77</v>
      </c>
      <c r="G1463" t="s">
        <v>46</v>
      </c>
      <c r="I1463" t="s">
        <v>12</v>
      </c>
      <c r="J1463" t="s">
        <v>12</v>
      </c>
      <c r="K1463" t="s">
        <v>12</v>
      </c>
      <c r="L1463" t="s">
        <v>440</v>
      </c>
      <c r="M1463" t="s">
        <v>981</v>
      </c>
      <c r="O1463">
        <v>36.520000000000003</v>
      </c>
      <c r="ES1463">
        <v>1</v>
      </c>
      <c r="ET1463">
        <v>1</v>
      </c>
      <c r="EU1463">
        <v>1</v>
      </c>
      <c r="EV1463">
        <v>1</v>
      </c>
      <c r="EW1463">
        <v>1</v>
      </c>
      <c r="EX1463">
        <v>1</v>
      </c>
      <c r="EY1463">
        <v>1</v>
      </c>
      <c r="EZ1463">
        <v>1</v>
      </c>
      <c r="FA1463">
        <v>1</v>
      </c>
      <c r="FB1463">
        <v>1</v>
      </c>
      <c r="FC1463">
        <v>1</v>
      </c>
      <c r="FD1463">
        <v>1</v>
      </c>
    </row>
    <row r="1464" spans="1:172" x14ac:dyDescent="0.25">
      <c r="A1464" t="s">
        <v>322</v>
      </c>
      <c r="B1464" t="s">
        <v>188</v>
      </c>
      <c r="C1464" s="3">
        <v>25.68</v>
      </c>
      <c r="D1464" s="3">
        <v>-100.31</v>
      </c>
      <c r="E1464" t="s">
        <v>12</v>
      </c>
      <c r="F1464" t="s">
        <v>77</v>
      </c>
      <c r="G1464" t="s">
        <v>46</v>
      </c>
      <c r="I1464" t="s">
        <v>12</v>
      </c>
      <c r="J1464" t="s">
        <v>12</v>
      </c>
      <c r="K1464" t="s">
        <v>12</v>
      </c>
      <c r="L1464" t="s">
        <v>440</v>
      </c>
      <c r="M1464" t="s">
        <v>981</v>
      </c>
      <c r="O1464">
        <v>27.8</v>
      </c>
      <c r="ES1464">
        <v>1</v>
      </c>
      <c r="ET1464">
        <v>1</v>
      </c>
      <c r="EU1464">
        <v>1</v>
      </c>
      <c r="EV1464">
        <v>1</v>
      </c>
      <c r="EW1464">
        <v>1</v>
      </c>
      <c r="EX1464">
        <v>1</v>
      </c>
      <c r="EY1464">
        <v>1</v>
      </c>
      <c r="EZ1464">
        <v>1</v>
      </c>
      <c r="FA1464">
        <v>1</v>
      </c>
      <c r="FB1464">
        <v>1</v>
      </c>
      <c r="FC1464">
        <v>1</v>
      </c>
      <c r="FD1464">
        <v>1</v>
      </c>
    </row>
    <row r="1465" spans="1:172" x14ac:dyDescent="0.25">
      <c r="A1465" t="s">
        <v>322</v>
      </c>
      <c r="B1465" t="s">
        <v>188</v>
      </c>
      <c r="C1465" s="3">
        <v>25.68</v>
      </c>
      <c r="D1465" s="3">
        <v>-100.31</v>
      </c>
      <c r="E1465" t="s">
        <v>12</v>
      </c>
      <c r="F1465" t="s">
        <v>77</v>
      </c>
      <c r="G1465" t="s">
        <v>46</v>
      </c>
      <c r="I1465" t="s">
        <v>12</v>
      </c>
      <c r="J1465" t="s">
        <v>12</v>
      </c>
      <c r="K1465" t="s">
        <v>12</v>
      </c>
      <c r="L1465" t="s">
        <v>440</v>
      </c>
      <c r="M1465" t="s">
        <v>981</v>
      </c>
      <c r="O1465">
        <v>30.72</v>
      </c>
      <c r="ES1465">
        <v>1</v>
      </c>
      <c r="ET1465">
        <v>1</v>
      </c>
      <c r="EU1465">
        <v>1</v>
      </c>
      <c r="EV1465">
        <v>1</v>
      </c>
      <c r="EW1465">
        <v>1</v>
      </c>
      <c r="EX1465">
        <v>1</v>
      </c>
      <c r="EY1465">
        <v>1</v>
      </c>
      <c r="EZ1465">
        <v>1</v>
      </c>
      <c r="FA1465">
        <v>1</v>
      </c>
      <c r="FB1465">
        <v>1</v>
      </c>
      <c r="FC1465">
        <v>1</v>
      </c>
      <c r="FD1465">
        <v>1</v>
      </c>
    </row>
    <row r="1466" spans="1:172" x14ac:dyDescent="0.25">
      <c r="A1466" t="s">
        <v>322</v>
      </c>
      <c r="B1466" t="s">
        <v>188</v>
      </c>
      <c r="C1466" s="3">
        <v>25.68</v>
      </c>
      <c r="D1466" s="3">
        <v>-100.31</v>
      </c>
      <c r="E1466" t="s">
        <v>12</v>
      </c>
      <c r="F1466" t="s">
        <v>77</v>
      </c>
      <c r="G1466" t="s">
        <v>46</v>
      </c>
      <c r="I1466" t="s">
        <v>12</v>
      </c>
      <c r="J1466" t="s">
        <v>12</v>
      </c>
      <c r="K1466" t="s">
        <v>12</v>
      </c>
      <c r="L1466" t="s">
        <v>440</v>
      </c>
      <c r="M1466" t="s">
        <v>981</v>
      </c>
      <c r="O1466">
        <v>46.33</v>
      </c>
      <c r="ES1466">
        <v>1</v>
      </c>
      <c r="ET1466">
        <v>1</v>
      </c>
      <c r="EU1466">
        <v>1</v>
      </c>
      <c r="EV1466">
        <v>1</v>
      </c>
      <c r="EW1466">
        <v>1</v>
      </c>
      <c r="EX1466">
        <v>1</v>
      </c>
      <c r="EY1466">
        <v>1</v>
      </c>
      <c r="EZ1466">
        <v>1</v>
      </c>
      <c r="FA1466">
        <v>1</v>
      </c>
      <c r="FB1466">
        <v>1</v>
      </c>
      <c r="FC1466">
        <v>1</v>
      </c>
      <c r="FD1466">
        <v>1</v>
      </c>
    </row>
    <row r="1467" spans="1:172" x14ac:dyDescent="0.25">
      <c r="A1467" t="s">
        <v>322</v>
      </c>
      <c r="B1467" t="s">
        <v>188</v>
      </c>
      <c r="C1467" s="3">
        <v>25.68</v>
      </c>
      <c r="D1467" s="3">
        <v>-100.31</v>
      </c>
      <c r="E1467" t="s">
        <v>12</v>
      </c>
      <c r="F1467" t="s">
        <v>77</v>
      </c>
      <c r="G1467" t="s">
        <v>46</v>
      </c>
      <c r="I1467" t="s">
        <v>12</v>
      </c>
      <c r="J1467" t="s">
        <v>12</v>
      </c>
      <c r="K1467" t="s">
        <v>12</v>
      </c>
      <c r="L1467" t="s">
        <v>440</v>
      </c>
      <c r="M1467" t="s">
        <v>981</v>
      </c>
      <c r="O1467">
        <v>32.229999999999997</v>
      </c>
      <c r="FE1467">
        <v>1</v>
      </c>
      <c r="FF1467">
        <v>1</v>
      </c>
      <c r="FG1467">
        <v>1</v>
      </c>
      <c r="FH1467">
        <v>1</v>
      </c>
      <c r="FI1467">
        <v>1</v>
      </c>
      <c r="FJ1467">
        <v>1</v>
      </c>
      <c r="FK1467">
        <v>1</v>
      </c>
      <c r="FL1467">
        <v>1</v>
      </c>
      <c r="FM1467">
        <v>1</v>
      </c>
      <c r="FN1467">
        <v>1</v>
      </c>
      <c r="FO1467">
        <v>1</v>
      </c>
      <c r="FP1467">
        <v>1</v>
      </c>
    </row>
    <row r="1468" spans="1:172" x14ac:dyDescent="0.25">
      <c r="A1468" t="s">
        <v>322</v>
      </c>
      <c r="B1468" t="s">
        <v>188</v>
      </c>
      <c r="C1468" s="3">
        <v>25.68</v>
      </c>
      <c r="D1468" s="3">
        <v>-100.31</v>
      </c>
      <c r="E1468" t="s">
        <v>12</v>
      </c>
      <c r="F1468" t="s">
        <v>77</v>
      </c>
      <c r="G1468" t="s">
        <v>46</v>
      </c>
      <c r="I1468" t="s">
        <v>12</v>
      </c>
      <c r="J1468" t="s">
        <v>12</v>
      </c>
      <c r="K1468" t="s">
        <v>12</v>
      </c>
      <c r="L1468" t="s">
        <v>440</v>
      </c>
      <c r="M1468" t="s">
        <v>981</v>
      </c>
      <c r="O1468">
        <v>36.270000000000003</v>
      </c>
      <c r="FE1468">
        <v>1</v>
      </c>
      <c r="FF1468">
        <v>1</v>
      </c>
      <c r="FG1468">
        <v>1</v>
      </c>
      <c r="FH1468">
        <v>1</v>
      </c>
      <c r="FI1468">
        <v>1</v>
      </c>
      <c r="FJ1468">
        <v>1</v>
      </c>
      <c r="FK1468">
        <v>1</v>
      </c>
      <c r="FL1468">
        <v>1</v>
      </c>
      <c r="FM1468">
        <v>1</v>
      </c>
      <c r="FN1468">
        <v>1</v>
      </c>
      <c r="FO1468">
        <v>1</v>
      </c>
      <c r="FP1468">
        <v>1</v>
      </c>
    </row>
    <row r="1469" spans="1:172" x14ac:dyDescent="0.25">
      <c r="A1469" t="s">
        <v>322</v>
      </c>
      <c r="B1469" t="s">
        <v>188</v>
      </c>
      <c r="C1469" s="3">
        <v>25.68</v>
      </c>
      <c r="D1469" s="3">
        <v>-100.31</v>
      </c>
      <c r="E1469" t="s">
        <v>12</v>
      </c>
      <c r="F1469" t="s">
        <v>77</v>
      </c>
      <c r="G1469" t="s">
        <v>46</v>
      </c>
      <c r="I1469" t="s">
        <v>12</v>
      </c>
      <c r="J1469" t="s">
        <v>12</v>
      </c>
      <c r="K1469" t="s">
        <v>12</v>
      </c>
      <c r="L1469" t="s">
        <v>440</v>
      </c>
      <c r="M1469" t="s">
        <v>981</v>
      </c>
      <c r="O1469">
        <v>28.33</v>
      </c>
      <c r="FE1469">
        <v>1</v>
      </c>
      <c r="FF1469">
        <v>1</v>
      </c>
      <c r="FG1469">
        <v>1</v>
      </c>
      <c r="FH1469">
        <v>1</v>
      </c>
      <c r="FI1469">
        <v>1</v>
      </c>
      <c r="FJ1469">
        <v>1</v>
      </c>
      <c r="FK1469">
        <v>1</v>
      </c>
      <c r="FL1469">
        <v>1</v>
      </c>
      <c r="FM1469">
        <v>1</v>
      </c>
      <c r="FN1469">
        <v>1</v>
      </c>
      <c r="FO1469">
        <v>1</v>
      </c>
      <c r="FP1469">
        <v>1</v>
      </c>
    </row>
    <row r="1470" spans="1:172" x14ac:dyDescent="0.25">
      <c r="A1470" t="s">
        <v>322</v>
      </c>
      <c r="B1470" t="s">
        <v>188</v>
      </c>
      <c r="C1470" s="3">
        <v>25.68</v>
      </c>
      <c r="D1470" s="3">
        <v>-100.31</v>
      </c>
      <c r="E1470" t="s">
        <v>12</v>
      </c>
      <c r="F1470" t="s">
        <v>77</v>
      </c>
      <c r="G1470" t="s">
        <v>46</v>
      </c>
      <c r="I1470" t="s">
        <v>12</v>
      </c>
      <c r="J1470" t="s">
        <v>12</v>
      </c>
      <c r="K1470" t="s">
        <v>12</v>
      </c>
      <c r="L1470" t="s">
        <v>440</v>
      </c>
      <c r="M1470" t="s">
        <v>981</v>
      </c>
      <c r="O1470">
        <v>30.48</v>
      </c>
      <c r="FE1470">
        <v>1</v>
      </c>
      <c r="FF1470">
        <v>1</v>
      </c>
      <c r="FG1470">
        <v>1</v>
      </c>
      <c r="FH1470">
        <v>1</v>
      </c>
      <c r="FI1470">
        <v>1</v>
      </c>
      <c r="FJ1470">
        <v>1</v>
      </c>
      <c r="FK1470">
        <v>1</v>
      </c>
      <c r="FL1470">
        <v>1</v>
      </c>
      <c r="FM1470">
        <v>1</v>
      </c>
      <c r="FN1470">
        <v>1</v>
      </c>
      <c r="FO1470">
        <v>1</v>
      </c>
      <c r="FP1470">
        <v>1</v>
      </c>
    </row>
    <row r="1471" spans="1:172" x14ac:dyDescent="0.25">
      <c r="A1471" t="s">
        <v>322</v>
      </c>
      <c r="B1471" t="s">
        <v>188</v>
      </c>
      <c r="C1471" s="3">
        <v>25.68</v>
      </c>
      <c r="D1471" s="3">
        <v>-100.31</v>
      </c>
      <c r="E1471" t="s">
        <v>12</v>
      </c>
      <c r="F1471" t="s">
        <v>77</v>
      </c>
      <c r="G1471" t="s">
        <v>46</v>
      </c>
      <c r="I1471" t="s">
        <v>12</v>
      </c>
      <c r="J1471" t="s">
        <v>12</v>
      </c>
      <c r="K1471" t="s">
        <v>12</v>
      </c>
      <c r="L1471" t="s">
        <v>440</v>
      </c>
      <c r="M1471" t="s">
        <v>981</v>
      </c>
      <c r="O1471">
        <v>36.08</v>
      </c>
      <c r="FE1471">
        <v>1</v>
      </c>
      <c r="FF1471">
        <v>1</v>
      </c>
      <c r="FG1471">
        <v>1</v>
      </c>
      <c r="FH1471">
        <v>1</v>
      </c>
      <c r="FI1471">
        <v>1</v>
      </c>
      <c r="FJ1471">
        <v>1</v>
      </c>
      <c r="FK1471">
        <v>1</v>
      </c>
      <c r="FL1471">
        <v>1</v>
      </c>
      <c r="FM1471">
        <v>1</v>
      </c>
      <c r="FN1471">
        <v>1</v>
      </c>
      <c r="FO1471">
        <v>1</v>
      </c>
      <c r="FP1471">
        <v>1</v>
      </c>
    </row>
    <row r="1472" spans="1:172" x14ac:dyDescent="0.25">
      <c r="A1472" t="s">
        <v>322</v>
      </c>
      <c r="B1472" t="s">
        <v>188</v>
      </c>
      <c r="C1472" s="3">
        <v>25.68</v>
      </c>
      <c r="D1472" s="3">
        <v>-100.31</v>
      </c>
      <c r="E1472" t="s">
        <v>12</v>
      </c>
      <c r="F1472" t="s">
        <v>77</v>
      </c>
      <c r="G1472" t="s">
        <v>46</v>
      </c>
      <c r="I1472" t="s">
        <v>12</v>
      </c>
      <c r="J1472" t="s">
        <v>15</v>
      </c>
      <c r="K1472" t="s">
        <v>15</v>
      </c>
      <c r="L1472" t="s">
        <v>440</v>
      </c>
      <c r="M1472" t="s">
        <v>981</v>
      </c>
      <c r="O1472">
        <v>37.78</v>
      </c>
      <c r="P1472">
        <v>12.61</v>
      </c>
      <c r="FO1472">
        <v>0.5</v>
      </c>
      <c r="FP1472">
        <v>0.5</v>
      </c>
    </row>
    <row r="1473" spans="1:196" x14ac:dyDescent="0.25">
      <c r="A1473" t="s">
        <v>322</v>
      </c>
      <c r="B1473" t="s">
        <v>188</v>
      </c>
      <c r="C1473" s="3">
        <v>25.68</v>
      </c>
      <c r="D1473" s="3">
        <v>-100.31</v>
      </c>
      <c r="E1473" t="s">
        <v>12</v>
      </c>
      <c r="F1473" t="s">
        <v>77</v>
      </c>
      <c r="G1473" t="s">
        <v>46</v>
      </c>
      <c r="I1473" t="s">
        <v>12</v>
      </c>
      <c r="J1473" t="s">
        <v>15</v>
      </c>
      <c r="K1473" t="s">
        <v>15</v>
      </c>
      <c r="L1473" t="s">
        <v>440</v>
      </c>
      <c r="M1473" t="s">
        <v>981</v>
      </c>
      <c r="O1473">
        <v>36.15</v>
      </c>
      <c r="P1473">
        <v>9.8800000000000008</v>
      </c>
      <c r="FO1473">
        <v>0.5</v>
      </c>
      <c r="FP1473">
        <v>0.5</v>
      </c>
    </row>
    <row r="1474" spans="1:196" x14ac:dyDescent="0.25">
      <c r="A1474" t="s">
        <v>322</v>
      </c>
      <c r="B1474" t="s">
        <v>188</v>
      </c>
      <c r="C1474" s="3">
        <v>25.66</v>
      </c>
      <c r="D1474" s="3">
        <v>-100.3</v>
      </c>
      <c r="E1474" t="s">
        <v>12</v>
      </c>
      <c r="F1474" t="s">
        <v>19</v>
      </c>
      <c r="G1474" t="s">
        <v>46</v>
      </c>
      <c r="I1474" t="s">
        <v>12</v>
      </c>
      <c r="J1474" t="s">
        <v>12</v>
      </c>
      <c r="K1474" t="s">
        <v>15</v>
      </c>
      <c r="L1474" t="s">
        <v>320</v>
      </c>
      <c r="M1474" t="s">
        <v>1036</v>
      </c>
      <c r="O1474">
        <v>40.1</v>
      </c>
      <c r="ES1474">
        <v>0.25</v>
      </c>
      <c r="ET1474">
        <v>0.25</v>
      </c>
      <c r="EU1474">
        <v>0.25</v>
      </c>
      <c r="EV1474">
        <v>0.25</v>
      </c>
      <c r="EW1474">
        <v>0.25</v>
      </c>
      <c r="EX1474">
        <v>0.25</v>
      </c>
      <c r="EY1474">
        <v>0.25</v>
      </c>
      <c r="EZ1474">
        <v>0.25</v>
      </c>
      <c r="FA1474">
        <v>0.25</v>
      </c>
      <c r="FB1474">
        <v>0.25</v>
      </c>
      <c r="FC1474">
        <v>0.25</v>
      </c>
      <c r="FD1474">
        <v>0.25</v>
      </c>
    </row>
    <row r="1475" spans="1:196" x14ac:dyDescent="0.25">
      <c r="A1475" t="s">
        <v>191</v>
      </c>
      <c r="B1475" t="s">
        <v>188</v>
      </c>
      <c r="C1475" s="3">
        <f>20+34/60+42/3600</f>
        <v>20.578333333333333</v>
      </c>
      <c r="D1475" s="3">
        <f>-(101+11/60+55/3600)</f>
        <v>-101.19861111111112</v>
      </c>
      <c r="E1475" t="s">
        <v>15</v>
      </c>
      <c r="F1475" t="s">
        <v>77</v>
      </c>
      <c r="G1475" t="s">
        <v>97</v>
      </c>
      <c r="I1475" t="s">
        <v>15</v>
      </c>
      <c r="J1475" t="s">
        <v>15</v>
      </c>
      <c r="K1475" t="s">
        <v>15</v>
      </c>
      <c r="L1475" t="s">
        <v>402</v>
      </c>
      <c r="M1475" t="s">
        <v>995</v>
      </c>
      <c r="O1475">
        <v>45</v>
      </c>
      <c r="FC1475">
        <v>0.5</v>
      </c>
      <c r="FD1475">
        <v>1</v>
      </c>
      <c r="FE1475">
        <v>1</v>
      </c>
      <c r="FF1475">
        <v>1</v>
      </c>
      <c r="FG1475">
        <v>1</v>
      </c>
      <c r="FH1475">
        <v>1</v>
      </c>
      <c r="FI1475">
        <v>1</v>
      </c>
      <c r="FJ1475">
        <v>1</v>
      </c>
      <c r="FK1475">
        <v>1</v>
      </c>
      <c r="FL1475">
        <v>1</v>
      </c>
      <c r="FM1475">
        <v>1</v>
      </c>
      <c r="FN1475">
        <v>1</v>
      </c>
      <c r="FO1475">
        <v>0.5</v>
      </c>
    </row>
    <row r="1476" spans="1:196" x14ac:dyDescent="0.25">
      <c r="A1476" t="s">
        <v>191</v>
      </c>
      <c r="B1476" t="s">
        <v>188</v>
      </c>
      <c r="C1476" s="3">
        <f>AVERAGE(20.58,20.55,20.59,20.56,20.64,20.65)</f>
        <v>20.594999999999999</v>
      </c>
      <c r="D1476" s="3">
        <f>AVERAGE(101.2,101.23,101.13,101.13,101,101.14)</f>
        <v>101.13833333333334</v>
      </c>
      <c r="E1476" t="s">
        <v>15</v>
      </c>
      <c r="F1476" t="s">
        <v>8</v>
      </c>
      <c r="G1476" t="s">
        <v>97</v>
      </c>
      <c r="I1476" t="s">
        <v>15</v>
      </c>
      <c r="J1476" t="s">
        <v>15</v>
      </c>
      <c r="K1476" t="s">
        <v>15</v>
      </c>
      <c r="L1476" t="s">
        <v>190</v>
      </c>
      <c r="M1476" t="s">
        <v>1087</v>
      </c>
      <c r="O1476">
        <f>AVERAGE(22.7,11.1,21.6,23.7,19.8,20.5,14.7)</f>
        <v>19.157142857142855</v>
      </c>
      <c r="DJ1476">
        <v>0.5</v>
      </c>
      <c r="DK1476">
        <v>0.5</v>
      </c>
    </row>
    <row r="1477" spans="1:196" x14ac:dyDescent="0.25">
      <c r="A1477" t="s">
        <v>544</v>
      </c>
      <c r="B1477" t="s">
        <v>546</v>
      </c>
      <c r="C1477" s="3">
        <v>43.57</v>
      </c>
      <c r="D1477" s="3">
        <v>104.42</v>
      </c>
      <c r="E1477" t="s">
        <v>15</v>
      </c>
      <c r="F1477" t="s">
        <v>20</v>
      </c>
      <c r="G1477" t="s">
        <v>547</v>
      </c>
      <c r="I1477" t="s">
        <v>12</v>
      </c>
      <c r="J1477" t="s">
        <v>12</v>
      </c>
      <c r="K1477" t="s">
        <v>12</v>
      </c>
      <c r="L1477" t="s">
        <v>548</v>
      </c>
      <c r="M1477" t="s">
        <v>920</v>
      </c>
      <c r="O1477">
        <v>86</v>
      </c>
      <c r="GC1477">
        <v>1</v>
      </c>
    </row>
    <row r="1478" spans="1:196" x14ac:dyDescent="0.25">
      <c r="A1478" t="s">
        <v>544</v>
      </c>
      <c r="B1478" t="s">
        <v>546</v>
      </c>
      <c r="C1478" s="3">
        <v>43.57</v>
      </c>
      <c r="D1478" s="3">
        <v>104.42</v>
      </c>
      <c r="E1478" t="s">
        <v>15</v>
      </c>
      <c r="F1478" t="s">
        <v>20</v>
      </c>
      <c r="G1478" t="s">
        <v>547</v>
      </c>
      <c r="I1478" t="s">
        <v>12</v>
      </c>
      <c r="J1478" t="s">
        <v>12</v>
      </c>
      <c r="K1478" t="s">
        <v>12</v>
      </c>
      <c r="L1478" t="s">
        <v>548</v>
      </c>
      <c r="M1478" t="s">
        <v>920</v>
      </c>
      <c r="O1478">
        <v>58</v>
      </c>
      <c r="GD1478">
        <v>1</v>
      </c>
    </row>
    <row r="1479" spans="1:196" x14ac:dyDescent="0.25">
      <c r="A1479" t="s">
        <v>544</v>
      </c>
      <c r="B1479" t="s">
        <v>546</v>
      </c>
      <c r="C1479" s="3">
        <v>43.57</v>
      </c>
      <c r="D1479" s="3">
        <v>104.42</v>
      </c>
      <c r="E1479" t="s">
        <v>15</v>
      </c>
      <c r="F1479" t="s">
        <v>20</v>
      </c>
      <c r="G1479" t="s">
        <v>547</v>
      </c>
      <c r="I1479" t="s">
        <v>12</v>
      </c>
      <c r="J1479" t="s">
        <v>12</v>
      </c>
      <c r="K1479" t="s">
        <v>12</v>
      </c>
      <c r="L1479" t="s">
        <v>548</v>
      </c>
      <c r="M1479" t="s">
        <v>920</v>
      </c>
      <c r="O1479">
        <v>29</v>
      </c>
      <c r="GE1479">
        <v>1</v>
      </c>
    </row>
    <row r="1480" spans="1:196" x14ac:dyDescent="0.25">
      <c r="A1480" t="s">
        <v>544</v>
      </c>
      <c r="B1480" t="s">
        <v>546</v>
      </c>
      <c r="C1480" s="3">
        <v>43.57</v>
      </c>
      <c r="D1480" s="3">
        <v>104.42</v>
      </c>
      <c r="E1480" t="s">
        <v>15</v>
      </c>
      <c r="F1480" t="s">
        <v>20</v>
      </c>
      <c r="G1480" t="s">
        <v>547</v>
      </c>
      <c r="I1480" t="s">
        <v>12</v>
      </c>
      <c r="J1480" t="s">
        <v>12</v>
      </c>
      <c r="K1480" t="s">
        <v>12</v>
      </c>
      <c r="L1480" t="s">
        <v>548</v>
      </c>
      <c r="M1480" t="s">
        <v>920</v>
      </c>
      <c r="O1480">
        <v>19</v>
      </c>
      <c r="GF1480">
        <v>1</v>
      </c>
    </row>
    <row r="1481" spans="1:196" x14ac:dyDescent="0.25">
      <c r="A1481" t="s">
        <v>544</v>
      </c>
      <c r="B1481" t="s">
        <v>546</v>
      </c>
      <c r="C1481" s="3">
        <v>43.57</v>
      </c>
      <c r="D1481" s="3">
        <v>104.42</v>
      </c>
      <c r="E1481" t="s">
        <v>15</v>
      </c>
      <c r="F1481" t="s">
        <v>20</v>
      </c>
      <c r="G1481" t="s">
        <v>547</v>
      </c>
      <c r="I1481" t="s">
        <v>12</v>
      </c>
      <c r="J1481" t="s">
        <v>12</v>
      </c>
      <c r="K1481" t="s">
        <v>12</v>
      </c>
      <c r="L1481" t="s">
        <v>548</v>
      </c>
      <c r="M1481" t="s">
        <v>920</v>
      </c>
      <c r="O1481">
        <v>17</v>
      </c>
      <c r="GG1481">
        <v>1</v>
      </c>
    </row>
    <row r="1482" spans="1:196" x14ac:dyDescent="0.25">
      <c r="A1482" t="s">
        <v>544</v>
      </c>
      <c r="B1482" t="s">
        <v>546</v>
      </c>
      <c r="C1482" s="3">
        <v>43.57</v>
      </c>
      <c r="D1482" s="3">
        <v>104.42</v>
      </c>
      <c r="E1482" t="s">
        <v>15</v>
      </c>
      <c r="F1482" t="s">
        <v>20</v>
      </c>
      <c r="G1482" t="s">
        <v>547</v>
      </c>
      <c r="I1482" t="s">
        <v>12</v>
      </c>
      <c r="J1482" t="s">
        <v>12</v>
      </c>
      <c r="K1482" t="s">
        <v>12</v>
      </c>
      <c r="L1482" t="s">
        <v>548</v>
      </c>
      <c r="M1482" t="s">
        <v>920</v>
      </c>
      <c r="O1482">
        <v>6</v>
      </c>
      <c r="GH1482">
        <v>1</v>
      </c>
    </row>
    <row r="1483" spans="1:196" x14ac:dyDescent="0.25">
      <c r="A1483" t="s">
        <v>544</v>
      </c>
      <c r="B1483" t="s">
        <v>546</v>
      </c>
      <c r="C1483" s="3">
        <v>43.57</v>
      </c>
      <c r="D1483" s="3">
        <v>104.42</v>
      </c>
      <c r="E1483" t="s">
        <v>15</v>
      </c>
      <c r="F1483" t="s">
        <v>20</v>
      </c>
      <c r="G1483" t="s">
        <v>547</v>
      </c>
      <c r="I1483" t="s">
        <v>12</v>
      </c>
      <c r="J1483" t="s">
        <v>12</v>
      </c>
      <c r="K1483" t="s">
        <v>12</v>
      </c>
      <c r="L1483" t="s">
        <v>548</v>
      </c>
      <c r="M1483" t="s">
        <v>920</v>
      </c>
      <c r="O1483">
        <v>4</v>
      </c>
      <c r="GI1483">
        <v>1</v>
      </c>
    </row>
    <row r="1484" spans="1:196" x14ac:dyDescent="0.25">
      <c r="A1484" t="s">
        <v>544</v>
      </c>
      <c r="B1484" t="s">
        <v>546</v>
      </c>
      <c r="C1484" s="3">
        <v>43.57</v>
      </c>
      <c r="D1484" s="3">
        <v>104.42</v>
      </c>
      <c r="E1484" t="s">
        <v>15</v>
      </c>
      <c r="F1484" t="s">
        <v>20</v>
      </c>
      <c r="G1484" t="s">
        <v>547</v>
      </c>
      <c r="I1484" t="s">
        <v>12</v>
      </c>
      <c r="J1484" t="s">
        <v>12</v>
      </c>
      <c r="K1484" t="s">
        <v>12</v>
      </c>
      <c r="L1484" t="s">
        <v>548</v>
      </c>
      <c r="M1484" t="s">
        <v>920</v>
      </c>
      <c r="O1484">
        <v>4</v>
      </c>
      <c r="GJ1484">
        <v>1</v>
      </c>
    </row>
    <row r="1485" spans="1:196" x14ac:dyDescent="0.25">
      <c r="A1485" t="s">
        <v>544</v>
      </c>
      <c r="B1485" t="s">
        <v>546</v>
      </c>
      <c r="C1485" s="3">
        <v>43.57</v>
      </c>
      <c r="D1485" s="3">
        <v>104.42</v>
      </c>
      <c r="E1485" t="s">
        <v>15</v>
      </c>
      <c r="F1485" t="s">
        <v>20</v>
      </c>
      <c r="G1485" t="s">
        <v>547</v>
      </c>
      <c r="I1485" t="s">
        <v>12</v>
      </c>
      <c r="J1485" t="s">
        <v>12</v>
      </c>
      <c r="K1485" t="s">
        <v>12</v>
      </c>
      <c r="L1485" t="s">
        <v>548</v>
      </c>
      <c r="M1485" t="s">
        <v>920</v>
      </c>
      <c r="O1485">
        <v>8</v>
      </c>
      <c r="GK1485">
        <v>1</v>
      </c>
    </row>
    <row r="1486" spans="1:196" x14ac:dyDescent="0.25">
      <c r="A1486" t="s">
        <v>544</v>
      </c>
      <c r="B1486" t="s">
        <v>546</v>
      </c>
      <c r="C1486" s="3">
        <v>43.57</v>
      </c>
      <c r="D1486" s="3">
        <v>104.42</v>
      </c>
      <c r="E1486" t="s">
        <v>15</v>
      </c>
      <c r="F1486" t="s">
        <v>20</v>
      </c>
      <c r="G1486" t="s">
        <v>547</v>
      </c>
      <c r="I1486" t="s">
        <v>12</v>
      </c>
      <c r="J1486" t="s">
        <v>12</v>
      </c>
      <c r="K1486" t="s">
        <v>12</v>
      </c>
      <c r="L1486" t="s">
        <v>548</v>
      </c>
      <c r="M1486" t="s">
        <v>920</v>
      </c>
      <c r="O1486">
        <v>21</v>
      </c>
      <c r="GL1486">
        <v>1</v>
      </c>
    </row>
    <row r="1487" spans="1:196" x14ac:dyDescent="0.25">
      <c r="A1487" t="s">
        <v>544</v>
      </c>
      <c r="B1487" t="s">
        <v>546</v>
      </c>
      <c r="C1487" s="3">
        <v>43.57</v>
      </c>
      <c r="D1487" s="3">
        <v>104.42</v>
      </c>
      <c r="E1487" t="s">
        <v>15</v>
      </c>
      <c r="F1487" t="s">
        <v>20</v>
      </c>
      <c r="G1487" t="s">
        <v>547</v>
      </c>
      <c r="I1487" t="s">
        <v>12</v>
      </c>
      <c r="J1487" t="s">
        <v>12</v>
      </c>
      <c r="K1487" t="s">
        <v>12</v>
      </c>
      <c r="L1487" t="s">
        <v>548</v>
      </c>
      <c r="M1487" t="s">
        <v>920</v>
      </c>
      <c r="O1487">
        <v>62</v>
      </c>
      <c r="GM1487">
        <v>1</v>
      </c>
    </row>
    <row r="1488" spans="1:196" x14ac:dyDescent="0.25">
      <c r="A1488" t="s">
        <v>544</v>
      </c>
      <c r="B1488" t="s">
        <v>546</v>
      </c>
      <c r="C1488" s="3">
        <v>43.57</v>
      </c>
      <c r="D1488" s="3">
        <v>104.42</v>
      </c>
      <c r="E1488" t="s">
        <v>15</v>
      </c>
      <c r="F1488" t="s">
        <v>20</v>
      </c>
      <c r="G1488" t="s">
        <v>547</v>
      </c>
      <c r="I1488" t="s">
        <v>12</v>
      </c>
      <c r="J1488" t="s">
        <v>12</v>
      </c>
      <c r="K1488" t="s">
        <v>12</v>
      </c>
      <c r="L1488" t="s">
        <v>548</v>
      </c>
      <c r="M1488" t="s">
        <v>920</v>
      </c>
      <c r="O1488">
        <v>93</v>
      </c>
      <c r="GN1488">
        <v>1</v>
      </c>
    </row>
    <row r="1489" spans="1:200" x14ac:dyDescent="0.25">
      <c r="A1489" t="s">
        <v>544</v>
      </c>
      <c r="B1489" t="s">
        <v>546</v>
      </c>
      <c r="C1489" s="3">
        <v>43.57</v>
      </c>
      <c r="D1489" s="3">
        <v>104.42</v>
      </c>
      <c r="E1489" t="s">
        <v>15</v>
      </c>
      <c r="F1489" t="s">
        <v>20</v>
      </c>
      <c r="G1489" t="s">
        <v>547</v>
      </c>
      <c r="I1489" t="s">
        <v>12</v>
      </c>
      <c r="J1489" t="s">
        <v>12</v>
      </c>
      <c r="K1489" t="s">
        <v>12</v>
      </c>
      <c r="L1489" t="s">
        <v>548</v>
      </c>
      <c r="M1489" t="s">
        <v>920</v>
      </c>
      <c r="O1489">
        <v>103</v>
      </c>
      <c r="GO1489">
        <v>1</v>
      </c>
    </row>
    <row r="1490" spans="1:200" x14ac:dyDescent="0.25">
      <c r="A1490" t="s">
        <v>544</v>
      </c>
      <c r="B1490" t="s">
        <v>546</v>
      </c>
      <c r="C1490" s="3">
        <v>43.57</v>
      </c>
      <c r="D1490" s="3">
        <v>104.42</v>
      </c>
      <c r="E1490" t="s">
        <v>15</v>
      </c>
      <c r="F1490" t="s">
        <v>20</v>
      </c>
      <c r="G1490" t="s">
        <v>547</v>
      </c>
      <c r="I1490" t="s">
        <v>12</v>
      </c>
      <c r="J1490" t="s">
        <v>12</v>
      </c>
      <c r="K1490" t="s">
        <v>12</v>
      </c>
      <c r="L1490" t="s">
        <v>548</v>
      </c>
      <c r="M1490" t="s">
        <v>920</v>
      </c>
      <c r="O1490">
        <v>58</v>
      </c>
      <c r="GP1490">
        <v>1</v>
      </c>
    </row>
    <row r="1491" spans="1:200" x14ac:dyDescent="0.25">
      <c r="A1491" t="s">
        <v>544</v>
      </c>
      <c r="B1491" t="s">
        <v>546</v>
      </c>
      <c r="C1491" s="3">
        <v>43.57</v>
      </c>
      <c r="D1491" s="3">
        <v>104.42</v>
      </c>
      <c r="E1491" t="s">
        <v>15</v>
      </c>
      <c r="F1491" t="s">
        <v>20</v>
      </c>
      <c r="G1491" t="s">
        <v>547</v>
      </c>
      <c r="I1491" t="s">
        <v>12</v>
      </c>
      <c r="J1491" t="s">
        <v>12</v>
      </c>
      <c r="K1491" t="s">
        <v>12</v>
      </c>
      <c r="L1491" t="s">
        <v>548</v>
      </c>
      <c r="M1491" t="s">
        <v>920</v>
      </c>
      <c r="O1491">
        <v>59</v>
      </c>
      <c r="GQ1491">
        <v>1</v>
      </c>
    </row>
    <row r="1492" spans="1:200" x14ac:dyDescent="0.25">
      <c r="A1492" t="s">
        <v>544</v>
      </c>
      <c r="B1492" t="s">
        <v>546</v>
      </c>
      <c r="C1492" s="3">
        <v>43.57</v>
      </c>
      <c r="D1492" s="3">
        <v>104.42</v>
      </c>
      <c r="E1492" t="s">
        <v>15</v>
      </c>
      <c r="F1492" t="s">
        <v>20</v>
      </c>
      <c r="G1492" t="s">
        <v>547</v>
      </c>
      <c r="I1492" t="s">
        <v>12</v>
      </c>
      <c r="J1492" t="s">
        <v>12</v>
      </c>
      <c r="K1492" t="s">
        <v>12</v>
      </c>
      <c r="L1492" t="s">
        <v>548</v>
      </c>
      <c r="M1492" t="s">
        <v>920</v>
      </c>
      <c r="O1492">
        <v>18</v>
      </c>
      <c r="GR1492">
        <v>1</v>
      </c>
    </row>
    <row r="1493" spans="1:200" x14ac:dyDescent="0.25">
      <c r="A1493" t="s">
        <v>545</v>
      </c>
      <c r="B1493" t="s">
        <v>546</v>
      </c>
      <c r="C1493" s="3">
        <v>44.87</v>
      </c>
      <c r="D1493" s="3">
        <v>110.12</v>
      </c>
      <c r="E1493" t="s">
        <v>15</v>
      </c>
      <c r="F1493" t="s">
        <v>20</v>
      </c>
      <c r="G1493" t="s">
        <v>547</v>
      </c>
      <c r="I1493" t="s">
        <v>12</v>
      </c>
      <c r="J1493" t="s">
        <v>12</v>
      </c>
      <c r="K1493" t="s">
        <v>12</v>
      </c>
      <c r="L1493" t="s">
        <v>548</v>
      </c>
      <c r="M1493" t="s">
        <v>920</v>
      </c>
      <c r="O1493">
        <v>5</v>
      </c>
      <c r="GC1493">
        <v>1</v>
      </c>
    </row>
    <row r="1494" spans="1:200" x14ac:dyDescent="0.25">
      <c r="A1494" t="s">
        <v>545</v>
      </c>
      <c r="B1494" t="s">
        <v>546</v>
      </c>
      <c r="C1494" s="3">
        <v>44.87</v>
      </c>
      <c r="D1494" s="3">
        <v>110.12</v>
      </c>
      <c r="E1494" t="s">
        <v>15</v>
      </c>
      <c r="F1494" t="s">
        <v>20</v>
      </c>
      <c r="G1494" t="s">
        <v>547</v>
      </c>
      <c r="I1494" t="s">
        <v>12</v>
      </c>
      <c r="J1494" t="s">
        <v>12</v>
      </c>
      <c r="K1494" t="s">
        <v>12</v>
      </c>
      <c r="L1494" t="s">
        <v>548</v>
      </c>
      <c r="M1494" t="s">
        <v>920</v>
      </c>
      <c r="O1494">
        <v>4</v>
      </c>
      <c r="GD1494">
        <v>1</v>
      </c>
    </row>
    <row r="1495" spans="1:200" x14ac:dyDescent="0.25">
      <c r="A1495" t="s">
        <v>545</v>
      </c>
      <c r="B1495" t="s">
        <v>546</v>
      </c>
      <c r="C1495" s="3">
        <v>44.87</v>
      </c>
      <c r="D1495" s="3">
        <v>110.12</v>
      </c>
      <c r="E1495" t="s">
        <v>15</v>
      </c>
      <c r="F1495" t="s">
        <v>20</v>
      </c>
      <c r="G1495" t="s">
        <v>547</v>
      </c>
      <c r="I1495" t="s">
        <v>12</v>
      </c>
      <c r="J1495" t="s">
        <v>12</v>
      </c>
      <c r="K1495" t="s">
        <v>12</v>
      </c>
      <c r="L1495" t="s">
        <v>548</v>
      </c>
      <c r="M1495" t="s">
        <v>920</v>
      </c>
      <c r="O1495">
        <v>6</v>
      </c>
      <c r="GE1495">
        <v>1</v>
      </c>
    </row>
    <row r="1496" spans="1:200" x14ac:dyDescent="0.25">
      <c r="A1496" t="s">
        <v>545</v>
      </c>
      <c r="B1496" t="s">
        <v>546</v>
      </c>
      <c r="C1496" s="3">
        <v>44.87</v>
      </c>
      <c r="D1496" s="3">
        <v>110.12</v>
      </c>
      <c r="E1496" t="s">
        <v>15</v>
      </c>
      <c r="F1496" t="s">
        <v>20</v>
      </c>
      <c r="G1496" t="s">
        <v>547</v>
      </c>
      <c r="I1496" t="s">
        <v>12</v>
      </c>
      <c r="J1496" t="s">
        <v>12</v>
      </c>
      <c r="K1496" t="s">
        <v>12</v>
      </c>
      <c r="L1496" t="s">
        <v>548</v>
      </c>
      <c r="M1496" t="s">
        <v>920</v>
      </c>
      <c r="O1496">
        <v>11</v>
      </c>
      <c r="GF1496">
        <v>1</v>
      </c>
    </row>
    <row r="1497" spans="1:200" x14ac:dyDescent="0.25">
      <c r="A1497" t="s">
        <v>545</v>
      </c>
      <c r="B1497" t="s">
        <v>546</v>
      </c>
      <c r="C1497" s="3">
        <v>44.87</v>
      </c>
      <c r="D1497" s="3">
        <v>110.12</v>
      </c>
      <c r="E1497" t="s">
        <v>15</v>
      </c>
      <c r="F1497" t="s">
        <v>20</v>
      </c>
      <c r="G1497" t="s">
        <v>547</v>
      </c>
      <c r="I1497" t="s">
        <v>12</v>
      </c>
      <c r="J1497" t="s">
        <v>12</v>
      </c>
      <c r="K1497" t="s">
        <v>12</v>
      </c>
      <c r="L1497" t="s">
        <v>548</v>
      </c>
      <c r="M1497" t="s">
        <v>920</v>
      </c>
      <c r="O1497">
        <v>10</v>
      </c>
      <c r="GG1497">
        <v>1</v>
      </c>
    </row>
    <row r="1498" spans="1:200" x14ac:dyDescent="0.25">
      <c r="A1498" t="s">
        <v>545</v>
      </c>
      <c r="B1498" t="s">
        <v>546</v>
      </c>
      <c r="C1498" s="3">
        <v>44.87</v>
      </c>
      <c r="D1498" s="3">
        <v>110.12</v>
      </c>
      <c r="E1498" t="s">
        <v>15</v>
      </c>
      <c r="F1498" t="s">
        <v>20</v>
      </c>
      <c r="G1498" t="s">
        <v>547</v>
      </c>
      <c r="I1498" t="s">
        <v>12</v>
      </c>
      <c r="J1498" t="s">
        <v>12</v>
      </c>
      <c r="K1498" t="s">
        <v>12</v>
      </c>
      <c r="L1498" t="s">
        <v>548</v>
      </c>
      <c r="M1498" t="s">
        <v>920</v>
      </c>
      <c r="O1498">
        <v>3</v>
      </c>
      <c r="GH1498">
        <v>1</v>
      </c>
    </row>
    <row r="1499" spans="1:200" x14ac:dyDescent="0.25">
      <c r="A1499" t="s">
        <v>545</v>
      </c>
      <c r="B1499" t="s">
        <v>546</v>
      </c>
      <c r="C1499" s="3">
        <v>44.87</v>
      </c>
      <c r="D1499" s="3">
        <v>110.12</v>
      </c>
      <c r="E1499" t="s">
        <v>15</v>
      </c>
      <c r="F1499" t="s">
        <v>20</v>
      </c>
      <c r="G1499" t="s">
        <v>547</v>
      </c>
      <c r="I1499" t="s">
        <v>12</v>
      </c>
      <c r="J1499" t="s">
        <v>12</v>
      </c>
      <c r="K1499" t="s">
        <v>12</v>
      </c>
      <c r="L1499" t="s">
        <v>548</v>
      </c>
      <c r="M1499" t="s">
        <v>920</v>
      </c>
      <c r="O1499">
        <v>5</v>
      </c>
      <c r="GI1499">
        <v>1</v>
      </c>
    </row>
    <row r="1500" spans="1:200" x14ac:dyDescent="0.25">
      <c r="A1500" t="s">
        <v>545</v>
      </c>
      <c r="B1500" t="s">
        <v>546</v>
      </c>
      <c r="C1500" s="3">
        <v>44.87</v>
      </c>
      <c r="D1500" s="3">
        <v>110.12</v>
      </c>
      <c r="E1500" t="s">
        <v>15</v>
      </c>
      <c r="F1500" t="s">
        <v>20</v>
      </c>
      <c r="G1500" t="s">
        <v>547</v>
      </c>
      <c r="I1500" t="s">
        <v>12</v>
      </c>
      <c r="J1500" t="s">
        <v>12</v>
      </c>
      <c r="K1500" t="s">
        <v>12</v>
      </c>
      <c r="L1500" t="s">
        <v>548</v>
      </c>
      <c r="M1500" t="s">
        <v>920</v>
      </c>
      <c r="O1500">
        <v>3</v>
      </c>
      <c r="GJ1500">
        <v>1</v>
      </c>
    </row>
    <row r="1501" spans="1:200" x14ac:dyDescent="0.25">
      <c r="A1501" t="s">
        <v>545</v>
      </c>
      <c r="B1501" t="s">
        <v>546</v>
      </c>
      <c r="C1501" s="3">
        <v>44.87</v>
      </c>
      <c r="D1501" s="3">
        <v>110.12</v>
      </c>
      <c r="E1501" t="s">
        <v>15</v>
      </c>
      <c r="F1501" t="s">
        <v>20</v>
      </c>
      <c r="G1501" t="s">
        <v>547</v>
      </c>
      <c r="I1501" t="s">
        <v>12</v>
      </c>
      <c r="J1501" t="s">
        <v>12</v>
      </c>
      <c r="K1501" t="s">
        <v>12</v>
      </c>
      <c r="L1501" t="s">
        <v>548</v>
      </c>
      <c r="M1501" t="s">
        <v>920</v>
      </c>
      <c r="O1501">
        <v>4</v>
      </c>
      <c r="GK1501">
        <v>1</v>
      </c>
    </row>
    <row r="1502" spans="1:200" x14ac:dyDescent="0.25">
      <c r="A1502" t="s">
        <v>545</v>
      </c>
      <c r="B1502" t="s">
        <v>546</v>
      </c>
      <c r="C1502" s="3">
        <v>44.87</v>
      </c>
      <c r="D1502" s="3">
        <v>110.12</v>
      </c>
      <c r="E1502" t="s">
        <v>15</v>
      </c>
      <c r="F1502" t="s">
        <v>20</v>
      </c>
      <c r="G1502" t="s">
        <v>547</v>
      </c>
      <c r="I1502" t="s">
        <v>12</v>
      </c>
      <c r="J1502" t="s">
        <v>12</v>
      </c>
      <c r="K1502" t="s">
        <v>12</v>
      </c>
      <c r="L1502" t="s">
        <v>548</v>
      </c>
      <c r="M1502" t="s">
        <v>920</v>
      </c>
      <c r="O1502">
        <v>3</v>
      </c>
      <c r="GL1502">
        <v>1</v>
      </c>
    </row>
    <row r="1503" spans="1:200" x14ac:dyDescent="0.25">
      <c r="A1503" t="s">
        <v>545</v>
      </c>
      <c r="B1503" t="s">
        <v>546</v>
      </c>
      <c r="C1503" s="3">
        <v>44.87</v>
      </c>
      <c r="D1503" s="3">
        <v>110.12</v>
      </c>
      <c r="E1503" t="s">
        <v>15</v>
      </c>
      <c r="F1503" t="s">
        <v>20</v>
      </c>
      <c r="G1503" t="s">
        <v>547</v>
      </c>
      <c r="I1503" t="s">
        <v>12</v>
      </c>
      <c r="J1503" t="s">
        <v>12</v>
      </c>
      <c r="K1503" t="s">
        <v>12</v>
      </c>
      <c r="L1503" t="s">
        <v>548</v>
      </c>
      <c r="M1503" t="s">
        <v>920</v>
      </c>
      <c r="O1503">
        <v>5</v>
      </c>
      <c r="GM1503">
        <v>1</v>
      </c>
    </row>
    <row r="1504" spans="1:200" x14ac:dyDescent="0.25">
      <c r="A1504" t="s">
        <v>545</v>
      </c>
      <c r="B1504" t="s">
        <v>546</v>
      </c>
      <c r="C1504" s="3">
        <v>44.87</v>
      </c>
      <c r="D1504" s="3">
        <v>110.12</v>
      </c>
      <c r="E1504" t="s">
        <v>15</v>
      </c>
      <c r="F1504" t="s">
        <v>20</v>
      </c>
      <c r="G1504" t="s">
        <v>547</v>
      </c>
      <c r="I1504" t="s">
        <v>12</v>
      </c>
      <c r="J1504" t="s">
        <v>12</v>
      </c>
      <c r="K1504" t="s">
        <v>12</v>
      </c>
      <c r="L1504" t="s">
        <v>548</v>
      </c>
      <c r="M1504" t="s">
        <v>920</v>
      </c>
      <c r="O1504">
        <v>5</v>
      </c>
      <c r="GN1504">
        <v>1</v>
      </c>
    </row>
    <row r="1505" spans="1:199" x14ac:dyDescent="0.25">
      <c r="A1505" t="s">
        <v>545</v>
      </c>
      <c r="B1505" t="s">
        <v>546</v>
      </c>
      <c r="C1505" s="3">
        <v>44.87</v>
      </c>
      <c r="D1505" s="3">
        <v>110.12</v>
      </c>
      <c r="E1505" t="s">
        <v>15</v>
      </c>
      <c r="F1505" t="s">
        <v>20</v>
      </c>
      <c r="G1505" t="s">
        <v>547</v>
      </c>
      <c r="I1505" t="s">
        <v>12</v>
      </c>
      <c r="J1505" t="s">
        <v>12</v>
      </c>
      <c r="K1505" t="s">
        <v>12</v>
      </c>
      <c r="L1505" t="s">
        <v>548</v>
      </c>
      <c r="M1505" t="s">
        <v>920</v>
      </c>
      <c r="O1505">
        <v>6</v>
      </c>
      <c r="GO1505">
        <v>1</v>
      </c>
    </row>
    <row r="1506" spans="1:199" x14ac:dyDescent="0.25">
      <c r="A1506" t="s">
        <v>545</v>
      </c>
      <c r="B1506" t="s">
        <v>546</v>
      </c>
      <c r="C1506" s="3">
        <v>44.87</v>
      </c>
      <c r="D1506" s="3">
        <v>110.12</v>
      </c>
      <c r="E1506" t="s">
        <v>15</v>
      </c>
      <c r="F1506" t="s">
        <v>20</v>
      </c>
      <c r="G1506" t="s">
        <v>547</v>
      </c>
      <c r="I1506" t="s">
        <v>12</v>
      </c>
      <c r="J1506" t="s">
        <v>12</v>
      </c>
      <c r="K1506" t="s">
        <v>12</v>
      </c>
      <c r="L1506" t="s">
        <v>548</v>
      </c>
      <c r="M1506" t="s">
        <v>920</v>
      </c>
      <c r="O1506">
        <v>5</v>
      </c>
      <c r="GP1506">
        <v>1</v>
      </c>
    </row>
    <row r="1507" spans="1:199" x14ac:dyDescent="0.25">
      <c r="A1507" t="s">
        <v>545</v>
      </c>
      <c r="B1507" t="s">
        <v>546</v>
      </c>
      <c r="C1507" s="3">
        <v>44.87</v>
      </c>
      <c r="D1507" s="3">
        <v>110.12</v>
      </c>
      <c r="E1507" t="s">
        <v>15</v>
      </c>
      <c r="F1507" t="s">
        <v>20</v>
      </c>
      <c r="G1507" t="s">
        <v>547</v>
      </c>
      <c r="I1507" t="s">
        <v>12</v>
      </c>
      <c r="J1507" t="s">
        <v>12</v>
      </c>
      <c r="K1507" t="s">
        <v>12</v>
      </c>
      <c r="L1507" t="s">
        <v>548</v>
      </c>
      <c r="M1507" t="s">
        <v>920</v>
      </c>
      <c r="O1507">
        <v>8</v>
      </c>
      <c r="GQ1507">
        <v>1</v>
      </c>
    </row>
    <row r="1508" spans="1:199" x14ac:dyDescent="0.25">
      <c r="A1508" t="s">
        <v>676</v>
      </c>
      <c r="B1508" t="s">
        <v>546</v>
      </c>
      <c r="C1508" s="3">
        <v>48.53</v>
      </c>
      <c r="D1508" s="3">
        <v>107.5</v>
      </c>
      <c r="E1508" t="s">
        <v>15</v>
      </c>
      <c r="F1508" t="s">
        <v>77</v>
      </c>
      <c r="G1508" t="s">
        <v>30</v>
      </c>
      <c r="H1508">
        <v>35</v>
      </c>
      <c r="I1508" t="s">
        <v>15</v>
      </c>
      <c r="J1508" t="s">
        <v>15</v>
      </c>
      <c r="K1508" t="s">
        <v>15</v>
      </c>
      <c r="L1508" t="s">
        <v>748</v>
      </c>
      <c r="M1508" t="s">
        <v>806</v>
      </c>
      <c r="O1508">
        <v>105.1</v>
      </c>
      <c r="P1508">
        <v>34.9</v>
      </c>
      <c r="FQ1508">
        <v>1</v>
      </c>
      <c r="FR1508">
        <v>1</v>
      </c>
    </row>
    <row r="1509" spans="1:199" x14ac:dyDescent="0.25">
      <c r="A1509" t="s">
        <v>676</v>
      </c>
      <c r="B1509" t="s">
        <v>546</v>
      </c>
      <c r="C1509" s="3">
        <v>47.914000000000001</v>
      </c>
      <c r="D1509" s="3">
        <v>106.97199999999999</v>
      </c>
      <c r="E1509" t="s">
        <v>15</v>
      </c>
      <c r="F1509" t="s">
        <v>77</v>
      </c>
      <c r="G1509" t="s">
        <v>106</v>
      </c>
      <c r="I1509" t="s">
        <v>15</v>
      </c>
      <c r="J1509" t="s">
        <v>12</v>
      </c>
      <c r="K1509" t="s">
        <v>15</v>
      </c>
      <c r="L1509" t="s">
        <v>677</v>
      </c>
      <c r="M1509" t="s">
        <v>851</v>
      </c>
      <c r="O1509">
        <v>46</v>
      </c>
      <c r="P1509">
        <v>51</v>
      </c>
      <c r="DU1509">
        <v>1</v>
      </c>
      <c r="DV1509">
        <v>1</v>
      </c>
      <c r="DW1509">
        <v>1</v>
      </c>
      <c r="DX1509">
        <v>1</v>
      </c>
      <c r="DY1509">
        <v>1</v>
      </c>
      <c r="DZ1509">
        <v>1</v>
      </c>
      <c r="EA1509">
        <v>1</v>
      </c>
      <c r="EB1509">
        <v>1</v>
      </c>
      <c r="EC1509">
        <v>1</v>
      </c>
      <c r="ED1509">
        <v>1</v>
      </c>
      <c r="EE1509">
        <v>1</v>
      </c>
      <c r="EF1509">
        <v>1</v>
      </c>
      <c r="EG1509">
        <v>1</v>
      </c>
      <c r="EH1509">
        <v>1</v>
      </c>
      <c r="EI1509">
        <v>1</v>
      </c>
      <c r="EO1509">
        <v>1</v>
      </c>
      <c r="EP1509">
        <v>1</v>
      </c>
      <c r="EQ1509">
        <v>1</v>
      </c>
      <c r="ER1509">
        <v>1</v>
      </c>
      <c r="ES1509">
        <v>1</v>
      </c>
      <c r="ET1509">
        <v>1</v>
      </c>
      <c r="EU1509">
        <v>1</v>
      </c>
      <c r="EV1509">
        <v>1</v>
      </c>
      <c r="EW1509">
        <v>1</v>
      </c>
      <c r="EX1509">
        <v>1</v>
      </c>
      <c r="EY1509">
        <v>1</v>
      </c>
      <c r="EZ1509">
        <v>1</v>
      </c>
      <c r="FA1509">
        <v>1</v>
      </c>
      <c r="FB1509">
        <v>1</v>
      </c>
      <c r="FC1509">
        <v>1</v>
      </c>
      <c r="FD1509">
        <v>1</v>
      </c>
      <c r="FE1509">
        <v>1</v>
      </c>
      <c r="FF1509">
        <v>1</v>
      </c>
      <c r="FG1509">
        <v>1</v>
      </c>
      <c r="FH1509">
        <v>1</v>
      </c>
      <c r="FI1509">
        <v>1</v>
      </c>
      <c r="FJ1509">
        <v>1</v>
      </c>
      <c r="FK1509">
        <v>1</v>
      </c>
      <c r="FL1509">
        <v>1</v>
      </c>
      <c r="FM1509">
        <v>1</v>
      </c>
      <c r="FN1509">
        <v>1</v>
      </c>
      <c r="FO1509">
        <v>1</v>
      </c>
      <c r="FP1509">
        <v>1</v>
      </c>
      <c r="FQ1509">
        <v>1</v>
      </c>
      <c r="FR1509">
        <v>1</v>
      </c>
      <c r="FS1509">
        <v>1</v>
      </c>
      <c r="FT1509">
        <v>1</v>
      </c>
      <c r="FU1509">
        <v>1</v>
      </c>
      <c r="FV1509">
        <v>1</v>
      </c>
      <c r="FW1509">
        <v>1</v>
      </c>
      <c r="FX1509">
        <v>1</v>
      </c>
      <c r="FY1509">
        <v>1</v>
      </c>
      <c r="FZ1509">
        <v>1</v>
      </c>
      <c r="GA1509">
        <v>1</v>
      </c>
      <c r="GB1509">
        <v>1</v>
      </c>
    </row>
    <row r="1510" spans="1:199" x14ac:dyDescent="0.25">
      <c r="A1510" t="s">
        <v>577</v>
      </c>
      <c r="B1510" t="s">
        <v>546</v>
      </c>
      <c r="C1510" s="3">
        <v>47.55</v>
      </c>
      <c r="D1510" s="3">
        <v>106.52</v>
      </c>
      <c r="E1510" t="s">
        <v>15</v>
      </c>
      <c r="F1510" t="s">
        <v>20</v>
      </c>
      <c r="G1510" t="s">
        <v>106</v>
      </c>
      <c r="I1510" t="s">
        <v>12</v>
      </c>
      <c r="J1510" t="s">
        <v>12</v>
      </c>
      <c r="K1510" t="s">
        <v>12</v>
      </c>
      <c r="L1510" t="s">
        <v>578</v>
      </c>
      <c r="M1510" t="s">
        <v>894</v>
      </c>
      <c r="O1510">
        <v>17.399999999999999</v>
      </c>
      <c r="P1510">
        <v>4</v>
      </c>
      <c r="DC1510">
        <v>0.5</v>
      </c>
    </row>
    <row r="1511" spans="1:199" x14ac:dyDescent="0.25">
      <c r="A1511" t="s">
        <v>233</v>
      </c>
      <c r="B1511" t="s">
        <v>231</v>
      </c>
      <c r="C1511" s="3">
        <v>34.24</v>
      </c>
      <c r="D1511" s="3">
        <v>-6.57</v>
      </c>
      <c r="E1511" t="s">
        <v>12</v>
      </c>
      <c r="F1511" t="s">
        <v>34</v>
      </c>
      <c r="G1511" t="s">
        <v>97</v>
      </c>
      <c r="I1511" t="s">
        <v>12</v>
      </c>
      <c r="J1511" t="s">
        <v>12</v>
      </c>
      <c r="K1511" t="s">
        <v>15</v>
      </c>
      <c r="L1511" t="s">
        <v>234</v>
      </c>
      <c r="M1511" t="s">
        <v>1068</v>
      </c>
      <c r="N1511" t="s">
        <v>232</v>
      </c>
      <c r="O1511">
        <v>47</v>
      </c>
      <c r="FJ1511">
        <v>1</v>
      </c>
      <c r="FK1511">
        <v>1</v>
      </c>
      <c r="FL1511">
        <v>1</v>
      </c>
      <c r="FM1511">
        <v>1</v>
      </c>
      <c r="FN1511">
        <v>1</v>
      </c>
      <c r="FO1511">
        <v>1</v>
      </c>
      <c r="FP1511">
        <v>1</v>
      </c>
      <c r="FQ1511">
        <v>1</v>
      </c>
      <c r="FR1511">
        <v>1</v>
      </c>
      <c r="FS1511">
        <v>1</v>
      </c>
      <c r="FT1511">
        <v>1</v>
      </c>
      <c r="FU1511">
        <v>1</v>
      </c>
    </row>
    <row r="1512" spans="1:199" x14ac:dyDescent="0.25">
      <c r="A1512" t="s">
        <v>230</v>
      </c>
      <c r="B1512" t="s">
        <v>231</v>
      </c>
      <c r="C1512" s="3">
        <v>33.89</v>
      </c>
      <c r="D1512" s="3">
        <v>-5.55</v>
      </c>
      <c r="E1512" t="s">
        <v>12</v>
      </c>
      <c r="F1512" t="s">
        <v>34</v>
      </c>
      <c r="G1512" t="s">
        <v>97</v>
      </c>
      <c r="I1512" t="s">
        <v>12</v>
      </c>
      <c r="J1512" t="s">
        <v>12</v>
      </c>
      <c r="K1512" t="s">
        <v>15</v>
      </c>
      <c r="L1512" t="s">
        <v>234</v>
      </c>
      <c r="M1512" t="s">
        <v>1068</v>
      </c>
      <c r="N1512" t="s">
        <v>232</v>
      </c>
      <c r="O1512">
        <f>(3*AVERAGE(23,41,30.42)+37.21)/4</f>
        <v>32.907499999999999</v>
      </c>
      <c r="FG1512">
        <v>1</v>
      </c>
      <c r="FH1512">
        <v>1</v>
      </c>
      <c r="FI1512">
        <v>1</v>
      </c>
      <c r="FJ1512">
        <v>1</v>
      </c>
      <c r="FK1512">
        <v>1</v>
      </c>
      <c r="FL1512">
        <v>1</v>
      </c>
      <c r="FM1512">
        <v>1</v>
      </c>
      <c r="FN1512">
        <v>1</v>
      </c>
      <c r="FO1512">
        <v>1</v>
      </c>
      <c r="FP1512">
        <v>1</v>
      </c>
      <c r="FQ1512">
        <v>1</v>
      </c>
      <c r="FR1512">
        <v>1</v>
      </c>
      <c r="FS1512">
        <v>1</v>
      </c>
      <c r="FT1512">
        <v>1</v>
      </c>
    </row>
    <row r="1513" spans="1:199" x14ac:dyDescent="0.25">
      <c r="A1513" t="s">
        <v>265</v>
      </c>
      <c r="B1513" t="s">
        <v>266</v>
      </c>
      <c r="C1513" s="3">
        <f>27+42/60+21/3600</f>
        <v>27.705833333333331</v>
      </c>
      <c r="D1513" s="3">
        <f>85+19/60+20/3600</f>
        <v>85.322222222222223</v>
      </c>
      <c r="E1513" t="s">
        <v>15</v>
      </c>
      <c r="F1513" t="s">
        <v>77</v>
      </c>
      <c r="G1513" t="s">
        <v>106</v>
      </c>
      <c r="I1513" t="s">
        <v>12</v>
      </c>
      <c r="J1513" t="s">
        <v>12</v>
      </c>
      <c r="K1513" t="s">
        <v>12</v>
      </c>
      <c r="L1513" t="s">
        <v>267</v>
      </c>
      <c r="M1513" t="s">
        <v>801</v>
      </c>
      <c r="O1513">
        <v>69</v>
      </c>
      <c r="P1513">
        <v>37</v>
      </c>
      <c r="EU1513">
        <v>1</v>
      </c>
      <c r="EV1513">
        <v>1</v>
      </c>
    </row>
    <row r="1514" spans="1:199" x14ac:dyDescent="0.25">
      <c r="A1514" t="s">
        <v>265</v>
      </c>
      <c r="B1514" t="s">
        <v>266</v>
      </c>
      <c r="C1514" s="3">
        <f>27+42/60+21/3600</f>
        <v>27.705833333333331</v>
      </c>
      <c r="D1514" s="3">
        <f>85+19/60+20/3600</f>
        <v>85.322222222222223</v>
      </c>
      <c r="E1514" t="s">
        <v>15</v>
      </c>
      <c r="F1514" t="s">
        <v>77</v>
      </c>
      <c r="G1514" t="s">
        <v>106</v>
      </c>
      <c r="I1514" t="s">
        <v>12</v>
      </c>
      <c r="J1514" t="s">
        <v>12</v>
      </c>
      <c r="K1514" t="s">
        <v>12</v>
      </c>
      <c r="L1514" t="s">
        <v>267</v>
      </c>
      <c r="M1514" t="s">
        <v>801</v>
      </c>
      <c r="O1514">
        <v>30</v>
      </c>
      <c r="P1514">
        <v>12</v>
      </c>
      <c r="EW1514">
        <v>1</v>
      </c>
      <c r="EX1514">
        <v>1</v>
      </c>
      <c r="EY1514">
        <v>1</v>
      </c>
      <c r="EZ1514">
        <v>1</v>
      </c>
    </row>
    <row r="1515" spans="1:199" x14ac:dyDescent="0.25">
      <c r="A1515" t="s">
        <v>265</v>
      </c>
      <c r="B1515" t="s">
        <v>266</v>
      </c>
      <c r="C1515" s="3">
        <f>27+42/60+21/3600</f>
        <v>27.705833333333331</v>
      </c>
      <c r="D1515" s="3">
        <f>85+19/60+20/3600</f>
        <v>85.322222222222223</v>
      </c>
      <c r="E1515" t="s">
        <v>15</v>
      </c>
      <c r="F1515" t="s">
        <v>77</v>
      </c>
      <c r="G1515" t="s">
        <v>106</v>
      </c>
      <c r="I1515" t="s">
        <v>12</v>
      </c>
      <c r="J1515" t="s">
        <v>12</v>
      </c>
      <c r="K1515" t="s">
        <v>12</v>
      </c>
      <c r="L1515" t="s">
        <v>267</v>
      </c>
      <c r="M1515" t="s">
        <v>801</v>
      </c>
      <c r="O1515">
        <v>53</v>
      </c>
      <c r="P1515">
        <v>22</v>
      </c>
      <c r="FA1515">
        <v>1</v>
      </c>
      <c r="FB1515">
        <v>1</v>
      </c>
      <c r="FC1515">
        <v>1</v>
      </c>
    </row>
    <row r="1516" spans="1:199" x14ac:dyDescent="0.25">
      <c r="A1516" t="s">
        <v>265</v>
      </c>
      <c r="B1516" t="s">
        <v>266</v>
      </c>
      <c r="C1516" s="3">
        <f>27+42/60+21/3600</f>
        <v>27.705833333333331</v>
      </c>
      <c r="D1516" s="3">
        <f>85+19/60+20/3600</f>
        <v>85.322222222222223</v>
      </c>
      <c r="E1516" t="s">
        <v>15</v>
      </c>
      <c r="F1516" t="s">
        <v>77</v>
      </c>
      <c r="G1516" t="s">
        <v>106</v>
      </c>
      <c r="I1516" t="s">
        <v>12</v>
      </c>
      <c r="J1516" t="s">
        <v>12</v>
      </c>
      <c r="K1516" t="s">
        <v>12</v>
      </c>
      <c r="L1516" t="s">
        <v>267</v>
      </c>
      <c r="M1516" t="s">
        <v>801</v>
      </c>
      <c r="O1516">
        <v>90</v>
      </c>
      <c r="P1516">
        <v>24</v>
      </c>
      <c r="FD1516">
        <v>1</v>
      </c>
      <c r="FE1516">
        <v>1</v>
      </c>
      <c r="FF1516">
        <v>1</v>
      </c>
    </row>
    <row r="1517" spans="1:199" x14ac:dyDescent="0.25">
      <c r="A1517" t="s">
        <v>720</v>
      </c>
      <c r="B1517" t="s">
        <v>266</v>
      </c>
      <c r="C1517" s="3">
        <v>27.72</v>
      </c>
      <c r="D1517" s="3">
        <v>85.52</v>
      </c>
      <c r="E1517" t="s">
        <v>15</v>
      </c>
      <c r="F1517" t="s">
        <v>20</v>
      </c>
      <c r="G1517" t="s">
        <v>721</v>
      </c>
      <c r="I1517" t="s">
        <v>15</v>
      </c>
      <c r="J1517" t="s">
        <v>15</v>
      </c>
      <c r="K1517" t="s">
        <v>15</v>
      </c>
      <c r="L1517" t="s">
        <v>762</v>
      </c>
      <c r="M1517" t="s">
        <v>820</v>
      </c>
      <c r="O1517">
        <v>30.666666666666668</v>
      </c>
      <c r="P1517">
        <v>62.976185975335156</v>
      </c>
      <c r="BL1517">
        <v>1</v>
      </c>
      <c r="BM1517">
        <v>1</v>
      </c>
      <c r="BN1517">
        <v>1</v>
      </c>
      <c r="BO1517">
        <v>1</v>
      </c>
      <c r="BP1517">
        <v>1</v>
      </c>
      <c r="BQ1517">
        <v>1</v>
      </c>
      <c r="BR1517">
        <v>1</v>
      </c>
      <c r="BS1517">
        <v>1</v>
      </c>
      <c r="BT1517">
        <v>1</v>
      </c>
      <c r="BU1517">
        <v>1</v>
      </c>
      <c r="BV1517">
        <v>1</v>
      </c>
      <c r="BW1517">
        <v>1</v>
      </c>
      <c r="BX1517">
        <v>1</v>
      </c>
      <c r="BY1517">
        <v>1</v>
      </c>
      <c r="BZ1517">
        <v>1</v>
      </c>
      <c r="CA1517">
        <v>1</v>
      </c>
      <c r="CB1517">
        <v>1</v>
      </c>
      <c r="CC1517">
        <v>1</v>
      </c>
      <c r="CD1517">
        <v>1</v>
      </c>
      <c r="CE1517">
        <v>1</v>
      </c>
      <c r="CF1517">
        <v>1</v>
      </c>
      <c r="CG1517">
        <v>1</v>
      </c>
      <c r="CH1517">
        <v>1</v>
      </c>
    </row>
    <row r="1518" spans="1:199" x14ac:dyDescent="0.25">
      <c r="A1518" t="s">
        <v>208</v>
      </c>
      <c r="B1518" t="s">
        <v>207</v>
      </c>
      <c r="C1518" s="3">
        <v>-36.869999999999997</v>
      </c>
      <c r="D1518" s="3">
        <v>174.76</v>
      </c>
      <c r="E1518" t="s">
        <v>12</v>
      </c>
      <c r="F1518" t="s">
        <v>77</v>
      </c>
      <c r="G1518" t="s">
        <v>46</v>
      </c>
      <c r="I1518" t="s">
        <v>12</v>
      </c>
      <c r="J1518" t="s">
        <v>12</v>
      </c>
      <c r="K1518" t="s">
        <v>12</v>
      </c>
      <c r="L1518" t="s">
        <v>1078</v>
      </c>
      <c r="M1518" t="s">
        <v>1077</v>
      </c>
      <c r="O1518">
        <v>13</v>
      </c>
      <c r="DZ1518">
        <v>1</v>
      </c>
      <c r="EA1518">
        <v>1</v>
      </c>
      <c r="EB1518">
        <v>1</v>
      </c>
      <c r="EL1518">
        <v>1</v>
      </c>
      <c r="EM1518">
        <v>1</v>
      </c>
      <c r="EN1518">
        <v>1</v>
      </c>
      <c r="EX1518">
        <v>1</v>
      </c>
      <c r="EY1518">
        <v>1</v>
      </c>
      <c r="EZ1518">
        <v>1</v>
      </c>
    </row>
    <row r="1519" spans="1:199" x14ac:dyDescent="0.25">
      <c r="A1519" t="s">
        <v>208</v>
      </c>
      <c r="B1519" t="s">
        <v>207</v>
      </c>
      <c r="C1519" s="3">
        <v>-36.869999999999997</v>
      </c>
      <c r="D1519" s="3">
        <v>174.76</v>
      </c>
      <c r="E1519" t="s">
        <v>12</v>
      </c>
      <c r="F1519" t="s">
        <v>77</v>
      </c>
      <c r="G1519" t="s">
        <v>46</v>
      </c>
      <c r="I1519" t="s">
        <v>12</v>
      </c>
      <c r="J1519" t="s">
        <v>12</v>
      </c>
      <c r="K1519" t="s">
        <v>12</v>
      </c>
      <c r="L1519" t="s">
        <v>1078</v>
      </c>
      <c r="M1519" t="s">
        <v>1077</v>
      </c>
      <c r="O1519">
        <v>5.3</v>
      </c>
      <c r="EF1519">
        <v>1</v>
      </c>
      <c r="EG1519">
        <v>1</v>
      </c>
      <c r="EH1519">
        <v>1</v>
      </c>
      <c r="ER1519">
        <v>1</v>
      </c>
      <c r="ES1519">
        <v>1</v>
      </c>
      <c r="ET1519">
        <v>1</v>
      </c>
      <c r="FD1519">
        <v>1</v>
      </c>
      <c r="FE1519">
        <v>1</v>
      </c>
      <c r="FF1519">
        <v>1</v>
      </c>
    </row>
    <row r="1520" spans="1:199" x14ac:dyDescent="0.25">
      <c r="A1520" t="s">
        <v>212</v>
      </c>
      <c r="B1520" t="s">
        <v>207</v>
      </c>
      <c r="C1520" s="3">
        <v>-43.53</v>
      </c>
      <c r="D1520" s="3">
        <v>172.63</v>
      </c>
      <c r="E1520" t="s">
        <v>12</v>
      </c>
      <c r="F1520" t="s">
        <v>77</v>
      </c>
      <c r="G1520" t="s">
        <v>46</v>
      </c>
      <c r="I1520" t="s">
        <v>12</v>
      </c>
      <c r="J1520" t="s">
        <v>12</v>
      </c>
      <c r="K1520" t="s">
        <v>12</v>
      </c>
      <c r="L1520" t="s">
        <v>1078</v>
      </c>
      <c r="M1520" t="s">
        <v>1077</v>
      </c>
      <c r="O1520">
        <v>28</v>
      </c>
      <c r="BR1520">
        <v>1</v>
      </c>
      <c r="BS1520">
        <v>1</v>
      </c>
      <c r="BT1520">
        <v>1</v>
      </c>
      <c r="CD1520">
        <v>1</v>
      </c>
      <c r="CE1520">
        <v>1</v>
      </c>
      <c r="CF1520">
        <v>1</v>
      </c>
      <c r="CP1520">
        <v>1</v>
      </c>
      <c r="CQ1520">
        <v>1</v>
      </c>
      <c r="CR1520">
        <v>1</v>
      </c>
      <c r="DB1520">
        <v>1</v>
      </c>
      <c r="DC1520">
        <v>1</v>
      </c>
      <c r="DD1520">
        <v>1</v>
      </c>
      <c r="DN1520">
        <v>1</v>
      </c>
      <c r="DO1520">
        <v>1</v>
      </c>
      <c r="DP1520">
        <v>1</v>
      </c>
      <c r="DZ1520">
        <v>1</v>
      </c>
      <c r="EA1520">
        <v>1</v>
      </c>
      <c r="EB1520">
        <v>1</v>
      </c>
      <c r="EL1520">
        <v>1</v>
      </c>
      <c r="EM1520">
        <v>1</v>
      </c>
      <c r="EN1520">
        <v>1</v>
      </c>
    </row>
    <row r="1521" spans="1:206" x14ac:dyDescent="0.25">
      <c r="A1521" t="s">
        <v>212</v>
      </c>
      <c r="B1521" t="s">
        <v>207</v>
      </c>
      <c r="C1521" s="3">
        <v>-43.53</v>
      </c>
      <c r="D1521" s="3">
        <v>172.63</v>
      </c>
      <c r="E1521" t="s">
        <v>12</v>
      </c>
      <c r="F1521" t="s">
        <v>77</v>
      </c>
      <c r="G1521" t="s">
        <v>46</v>
      </c>
      <c r="I1521" t="s">
        <v>12</v>
      </c>
      <c r="J1521" t="s">
        <v>12</v>
      </c>
      <c r="K1521" t="s">
        <v>12</v>
      </c>
      <c r="L1521" t="s">
        <v>1078</v>
      </c>
      <c r="M1521" t="s">
        <v>1077</v>
      </c>
      <c r="O1521">
        <v>5.8</v>
      </c>
      <c r="BX1521">
        <v>1</v>
      </c>
      <c r="BY1521">
        <v>1</v>
      </c>
      <c r="BZ1521">
        <v>1</v>
      </c>
      <c r="CJ1521">
        <v>1</v>
      </c>
      <c r="CK1521">
        <v>1</v>
      </c>
      <c r="CL1521">
        <v>1</v>
      </c>
      <c r="CV1521">
        <v>1</v>
      </c>
      <c r="CW1521">
        <v>1</v>
      </c>
      <c r="CX1521">
        <v>1</v>
      </c>
      <c r="DH1521">
        <v>1</v>
      </c>
      <c r="DI1521">
        <v>1</v>
      </c>
      <c r="DJ1521">
        <v>1</v>
      </c>
      <c r="DT1521">
        <v>1</v>
      </c>
      <c r="DU1521">
        <v>1</v>
      </c>
      <c r="DV1521">
        <v>1</v>
      </c>
      <c r="EF1521">
        <v>1</v>
      </c>
      <c r="EG1521">
        <v>1</v>
      </c>
      <c r="EH1521">
        <v>1</v>
      </c>
      <c r="ER1521">
        <v>1</v>
      </c>
      <c r="ES1521">
        <v>1</v>
      </c>
      <c r="ET1521">
        <v>1</v>
      </c>
    </row>
    <row r="1522" spans="1:206" x14ac:dyDescent="0.25">
      <c r="A1522" t="s">
        <v>209</v>
      </c>
      <c r="B1522" t="s">
        <v>207</v>
      </c>
      <c r="C1522" s="3">
        <v>-39.64</v>
      </c>
      <c r="D1522" s="3">
        <v>176.84</v>
      </c>
      <c r="E1522" t="s">
        <v>12</v>
      </c>
      <c r="F1522" t="s">
        <v>77</v>
      </c>
      <c r="G1522" t="s">
        <v>46</v>
      </c>
      <c r="I1522" t="s">
        <v>12</v>
      </c>
      <c r="J1522" t="s">
        <v>12</v>
      </c>
      <c r="K1522" t="s">
        <v>12</v>
      </c>
      <c r="L1522" t="s">
        <v>1078</v>
      </c>
      <c r="M1522" t="s">
        <v>1077</v>
      </c>
      <c r="O1522">
        <v>18.2</v>
      </c>
      <c r="EX1522">
        <v>1</v>
      </c>
      <c r="EY1522">
        <v>1</v>
      </c>
      <c r="EZ1522">
        <v>1</v>
      </c>
    </row>
    <row r="1523" spans="1:206" x14ac:dyDescent="0.25">
      <c r="A1523" t="s">
        <v>209</v>
      </c>
      <c r="B1523" t="s">
        <v>207</v>
      </c>
      <c r="C1523" s="3">
        <v>-39.64</v>
      </c>
      <c r="D1523" s="3">
        <v>176.84</v>
      </c>
      <c r="E1523" t="s">
        <v>12</v>
      </c>
      <c r="F1523" t="s">
        <v>77</v>
      </c>
      <c r="G1523" t="s">
        <v>46</v>
      </c>
      <c r="I1523" t="s">
        <v>12</v>
      </c>
      <c r="J1523" t="s">
        <v>12</v>
      </c>
      <c r="K1523" t="s">
        <v>12</v>
      </c>
      <c r="L1523" t="s">
        <v>1078</v>
      </c>
      <c r="M1523" t="s">
        <v>1077</v>
      </c>
      <c r="O1523">
        <v>4.4000000000000004</v>
      </c>
      <c r="FD1523">
        <v>1</v>
      </c>
      <c r="FE1523">
        <v>1</v>
      </c>
      <c r="FF1523">
        <v>1</v>
      </c>
    </row>
    <row r="1524" spans="1:206" x14ac:dyDescent="0.25">
      <c r="A1524" t="s">
        <v>210</v>
      </c>
      <c r="B1524" t="s">
        <v>207</v>
      </c>
      <c r="C1524" s="3">
        <v>-40.950000000000003</v>
      </c>
      <c r="D1524" s="3">
        <v>175.65</v>
      </c>
      <c r="E1524" t="s">
        <v>15</v>
      </c>
      <c r="F1524" t="s">
        <v>21</v>
      </c>
      <c r="G1524" t="s">
        <v>106</v>
      </c>
      <c r="I1524" t="s">
        <v>12</v>
      </c>
      <c r="J1524" t="s">
        <v>12</v>
      </c>
      <c r="K1524" t="s">
        <v>12</v>
      </c>
      <c r="L1524" t="s">
        <v>560</v>
      </c>
      <c r="M1524" t="s">
        <v>906</v>
      </c>
      <c r="O1524">
        <v>9.39</v>
      </c>
      <c r="P1524">
        <v>9.26</v>
      </c>
      <c r="CW1524">
        <v>1</v>
      </c>
      <c r="CX1524">
        <v>1</v>
      </c>
      <c r="CY1524">
        <v>1</v>
      </c>
      <c r="CZ1524">
        <v>1</v>
      </c>
      <c r="DA1524">
        <v>1</v>
      </c>
      <c r="DB1524">
        <v>1</v>
      </c>
      <c r="DC1524">
        <v>1</v>
      </c>
      <c r="DD1524">
        <v>1</v>
      </c>
      <c r="DE1524">
        <v>1</v>
      </c>
      <c r="DF1524">
        <v>1</v>
      </c>
      <c r="DG1524">
        <v>1</v>
      </c>
      <c r="DH1524">
        <v>1</v>
      </c>
      <c r="DI1524">
        <v>1</v>
      </c>
      <c r="DJ1524">
        <v>1</v>
      </c>
      <c r="DK1524">
        <v>1</v>
      </c>
      <c r="DL1524">
        <v>1</v>
      </c>
      <c r="DM1524">
        <v>1</v>
      </c>
      <c r="DN1524">
        <v>1</v>
      </c>
      <c r="DO1524">
        <v>1</v>
      </c>
      <c r="DP1524">
        <v>1</v>
      </c>
      <c r="DQ1524">
        <v>1</v>
      </c>
      <c r="DR1524">
        <v>1</v>
      </c>
      <c r="DS1524">
        <v>1</v>
      </c>
      <c r="DT1524">
        <v>1</v>
      </c>
      <c r="DU1524">
        <v>1</v>
      </c>
      <c r="DV1524">
        <v>1</v>
      </c>
      <c r="DW1524">
        <v>1</v>
      </c>
      <c r="DX1524">
        <v>1</v>
      </c>
      <c r="DY1524">
        <v>1</v>
      </c>
      <c r="DZ1524">
        <v>1</v>
      </c>
      <c r="EA1524">
        <v>1</v>
      </c>
      <c r="EB1524">
        <v>1</v>
      </c>
      <c r="EC1524">
        <v>1</v>
      </c>
      <c r="ED1524">
        <v>1</v>
      </c>
      <c r="EE1524">
        <v>1</v>
      </c>
      <c r="EF1524">
        <v>1</v>
      </c>
      <c r="EG1524">
        <v>1</v>
      </c>
      <c r="EH1524">
        <v>1</v>
      </c>
      <c r="EI1524">
        <v>1</v>
      </c>
      <c r="EJ1524">
        <v>1</v>
      </c>
      <c r="EK1524">
        <v>1</v>
      </c>
      <c r="EL1524">
        <v>1</v>
      </c>
      <c r="EM1524">
        <v>1</v>
      </c>
      <c r="EN1524">
        <v>1</v>
      </c>
      <c r="EO1524">
        <v>1</v>
      </c>
      <c r="EP1524">
        <v>1</v>
      </c>
      <c r="EQ1524">
        <v>1</v>
      </c>
      <c r="ER1524">
        <v>1</v>
      </c>
    </row>
    <row r="1525" spans="1:206" x14ac:dyDescent="0.25">
      <c r="A1525" t="s">
        <v>210</v>
      </c>
      <c r="B1525" t="s">
        <v>207</v>
      </c>
      <c r="C1525" s="3">
        <v>-40.950000000000003</v>
      </c>
      <c r="D1525" s="3">
        <v>175.66</v>
      </c>
      <c r="E1525" t="s">
        <v>12</v>
      </c>
      <c r="F1525" t="s">
        <v>77</v>
      </c>
      <c r="G1525" t="s">
        <v>46</v>
      </c>
      <c r="I1525" t="s">
        <v>12</v>
      </c>
      <c r="J1525" t="s">
        <v>12</v>
      </c>
      <c r="K1525" t="s">
        <v>12</v>
      </c>
      <c r="L1525" t="s">
        <v>1078</v>
      </c>
      <c r="M1525" t="s">
        <v>1077</v>
      </c>
      <c r="O1525">
        <v>11.7</v>
      </c>
      <c r="DN1525">
        <v>1</v>
      </c>
      <c r="DO1525">
        <v>1</v>
      </c>
      <c r="DP1525">
        <v>1</v>
      </c>
      <c r="DZ1525">
        <v>1</v>
      </c>
      <c r="EA1525">
        <v>1</v>
      </c>
      <c r="EB1525">
        <v>1</v>
      </c>
    </row>
    <row r="1526" spans="1:206" x14ac:dyDescent="0.25">
      <c r="A1526" t="s">
        <v>210</v>
      </c>
      <c r="B1526" t="s">
        <v>207</v>
      </c>
      <c r="C1526" s="3">
        <v>-40.950000000000003</v>
      </c>
      <c r="D1526" s="3">
        <v>175.66</v>
      </c>
      <c r="E1526" t="s">
        <v>12</v>
      </c>
      <c r="F1526" t="s">
        <v>77</v>
      </c>
      <c r="G1526" t="s">
        <v>46</v>
      </c>
      <c r="I1526" t="s">
        <v>12</v>
      </c>
      <c r="J1526" t="s">
        <v>12</v>
      </c>
      <c r="K1526" t="s">
        <v>12</v>
      </c>
      <c r="L1526" t="s">
        <v>1078</v>
      </c>
      <c r="M1526" t="s">
        <v>1077</v>
      </c>
      <c r="O1526">
        <v>5.5</v>
      </c>
      <c r="DT1526">
        <v>1</v>
      </c>
      <c r="DU1526">
        <v>1</v>
      </c>
      <c r="DV1526">
        <v>1</v>
      </c>
      <c r="EF1526">
        <v>1</v>
      </c>
      <c r="EG1526">
        <v>1</v>
      </c>
      <c r="EH1526">
        <v>1</v>
      </c>
    </row>
    <row r="1527" spans="1:206" x14ac:dyDescent="0.25">
      <c r="A1527" t="s">
        <v>568</v>
      </c>
      <c r="B1527" t="s">
        <v>207</v>
      </c>
      <c r="C1527" s="3">
        <v>-41.24</v>
      </c>
      <c r="D1527" s="3">
        <v>174.91</v>
      </c>
      <c r="E1527" t="s">
        <v>15</v>
      </c>
      <c r="F1527" t="s">
        <v>22</v>
      </c>
      <c r="G1527" t="s">
        <v>106</v>
      </c>
      <c r="I1527" t="s">
        <v>12</v>
      </c>
      <c r="J1527" t="s">
        <v>12</v>
      </c>
      <c r="K1527" t="s">
        <v>12</v>
      </c>
      <c r="L1527" t="s">
        <v>560</v>
      </c>
      <c r="M1527" t="s">
        <v>906</v>
      </c>
      <c r="O1527">
        <v>3.68</v>
      </c>
      <c r="P1527">
        <v>3.3</v>
      </c>
      <c r="CW1527">
        <v>1</v>
      </c>
      <c r="CX1527">
        <v>1</v>
      </c>
      <c r="CY1527">
        <v>1</v>
      </c>
      <c r="CZ1527">
        <v>1</v>
      </c>
      <c r="DA1527">
        <v>1</v>
      </c>
      <c r="DB1527">
        <v>1</v>
      </c>
      <c r="DC1527">
        <v>1</v>
      </c>
      <c r="DD1527">
        <v>1</v>
      </c>
      <c r="DE1527">
        <v>1</v>
      </c>
      <c r="DF1527">
        <v>1</v>
      </c>
      <c r="DG1527">
        <v>1</v>
      </c>
      <c r="DH1527">
        <v>1</v>
      </c>
      <c r="DI1527">
        <v>1</v>
      </c>
      <c r="DJ1527">
        <v>1</v>
      </c>
      <c r="DK1527">
        <v>1</v>
      </c>
      <c r="DL1527">
        <v>1</v>
      </c>
      <c r="DM1527">
        <v>1</v>
      </c>
      <c r="DN1527">
        <v>1</v>
      </c>
      <c r="DO1527">
        <v>1</v>
      </c>
      <c r="DP1527">
        <v>1</v>
      </c>
      <c r="DQ1527">
        <v>1</v>
      </c>
      <c r="DR1527">
        <v>1</v>
      </c>
      <c r="DS1527">
        <v>1</v>
      </c>
      <c r="DT1527">
        <v>1</v>
      </c>
    </row>
    <row r="1528" spans="1:206" x14ac:dyDescent="0.25">
      <c r="A1528" t="s">
        <v>211</v>
      </c>
      <c r="B1528" t="s">
        <v>207</v>
      </c>
      <c r="C1528" s="3">
        <v>-41.13</v>
      </c>
      <c r="D1528" s="3">
        <v>175.07</v>
      </c>
      <c r="E1528" t="s">
        <v>12</v>
      </c>
      <c r="F1528" t="s">
        <v>77</v>
      </c>
      <c r="G1528" t="s">
        <v>46</v>
      </c>
      <c r="I1528" t="s">
        <v>12</v>
      </c>
      <c r="J1528" t="s">
        <v>12</v>
      </c>
      <c r="K1528" t="s">
        <v>12</v>
      </c>
      <c r="L1528" t="s">
        <v>1078</v>
      </c>
      <c r="M1528" t="s">
        <v>1077</v>
      </c>
      <c r="O1528">
        <v>6.8</v>
      </c>
      <c r="CD1528">
        <v>1</v>
      </c>
      <c r="CE1528">
        <v>1</v>
      </c>
      <c r="CF1528">
        <v>1</v>
      </c>
      <c r="CP1528">
        <v>1</v>
      </c>
      <c r="CQ1528">
        <v>1</v>
      </c>
      <c r="CR1528">
        <v>1</v>
      </c>
      <c r="DB1528">
        <v>1</v>
      </c>
      <c r="DC1528">
        <v>1</v>
      </c>
      <c r="DD1528">
        <v>1</v>
      </c>
      <c r="DN1528">
        <v>1</v>
      </c>
      <c r="DO1528">
        <v>1</v>
      </c>
      <c r="DP1528">
        <v>1</v>
      </c>
      <c r="DZ1528">
        <v>1</v>
      </c>
      <c r="EA1528">
        <v>1</v>
      </c>
      <c r="EB1528">
        <v>1</v>
      </c>
    </row>
    <row r="1529" spans="1:206" x14ac:dyDescent="0.25">
      <c r="A1529" t="s">
        <v>211</v>
      </c>
      <c r="B1529" t="s">
        <v>207</v>
      </c>
      <c r="C1529" s="3">
        <v>-41.13</v>
      </c>
      <c r="D1529" s="3">
        <v>175.07</v>
      </c>
      <c r="E1529" t="s">
        <v>12</v>
      </c>
      <c r="F1529" t="s">
        <v>77</v>
      </c>
      <c r="G1529" t="s">
        <v>46</v>
      </c>
      <c r="I1529" t="s">
        <v>12</v>
      </c>
      <c r="J1529" t="s">
        <v>12</v>
      </c>
      <c r="K1529" t="s">
        <v>12</v>
      </c>
      <c r="L1529" t="s">
        <v>1078</v>
      </c>
      <c r="M1529" t="s">
        <v>1077</v>
      </c>
      <c r="O1529">
        <v>3.2</v>
      </c>
      <c r="CJ1529">
        <v>1</v>
      </c>
      <c r="CK1529">
        <v>1</v>
      </c>
      <c r="CL1529">
        <v>1</v>
      </c>
      <c r="CV1529">
        <v>1</v>
      </c>
      <c r="CW1529">
        <v>1</v>
      </c>
      <c r="CX1529">
        <v>1</v>
      </c>
      <c r="DH1529">
        <v>1</v>
      </c>
      <c r="DI1529">
        <v>1</v>
      </c>
      <c r="DJ1529">
        <v>1</v>
      </c>
      <c r="DT1529">
        <v>1</v>
      </c>
      <c r="DU1529">
        <v>1</v>
      </c>
      <c r="DV1529">
        <v>1</v>
      </c>
      <c r="EF1529">
        <v>1</v>
      </c>
      <c r="EG1529">
        <v>1</v>
      </c>
      <c r="EH1529">
        <v>1</v>
      </c>
    </row>
    <row r="1530" spans="1:206" x14ac:dyDescent="0.25">
      <c r="A1530" t="s">
        <v>376</v>
      </c>
      <c r="B1530" t="s">
        <v>377</v>
      </c>
      <c r="C1530" s="3">
        <v>6.26</v>
      </c>
      <c r="D1530" s="3">
        <v>3.26</v>
      </c>
      <c r="E1530" t="s">
        <v>15</v>
      </c>
      <c r="F1530" t="s">
        <v>20</v>
      </c>
      <c r="G1530" t="s">
        <v>106</v>
      </c>
      <c r="I1530" t="s">
        <v>12</v>
      </c>
      <c r="J1530" t="s">
        <v>12</v>
      </c>
      <c r="K1530" t="s">
        <v>15</v>
      </c>
      <c r="L1530" t="s">
        <v>378</v>
      </c>
      <c r="M1530" t="s">
        <v>1007</v>
      </c>
      <c r="O1530">
        <v>25.27</v>
      </c>
      <c r="P1530">
        <v>12.18</v>
      </c>
      <c r="GP1530">
        <v>1</v>
      </c>
      <c r="GQ1530">
        <v>1</v>
      </c>
      <c r="GR1530">
        <v>1</v>
      </c>
      <c r="GS1530">
        <v>1</v>
      </c>
      <c r="GT1530">
        <v>1</v>
      </c>
      <c r="GU1530">
        <v>1</v>
      </c>
      <c r="GV1530">
        <v>1</v>
      </c>
      <c r="GW1530">
        <v>1</v>
      </c>
      <c r="GX1530">
        <v>1</v>
      </c>
    </row>
    <row r="1531" spans="1:206" x14ac:dyDescent="0.25">
      <c r="A1531" t="s">
        <v>376</v>
      </c>
      <c r="B1531" t="s">
        <v>377</v>
      </c>
      <c r="C1531" s="3">
        <v>6.28</v>
      </c>
      <c r="D1531" s="3">
        <v>3.19</v>
      </c>
      <c r="E1531" t="s">
        <v>15</v>
      </c>
      <c r="F1531" t="s">
        <v>34</v>
      </c>
      <c r="G1531" t="s">
        <v>106</v>
      </c>
      <c r="I1531" t="s">
        <v>12</v>
      </c>
      <c r="J1531" t="s">
        <v>12</v>
      </c>
      <c r="K1531" t="s">
        <v>15</v>
      </c>
      <c r="L1531" t="s">
        <v>378</v>
      </c>
      <c r="M1531" t="s">
        <v>1007</v>
      </c>
      <c r="O1531">
        <v>30.88</v>
      </c>
      <c r="P1531">
        <v>6.84</v>
      </c>
      <c r="GP1531">
        <v>1</v>
      </c>
      <c r="GQ1531">
        <v>1</v>
      </c>
      <c r="GR1531">
        <v>1</v>
      </c>
      <c r="GS1531">
        <v>1</v>
      </c>
      <c r="GT1531">
        <v>1</v>
      </c>
      <c r="GU1531">
        <v>1</v>
      </c>
      <c r="GV1531">
        <v>1</v>
      </c>
      <c r="GW1531">
        <v>1</v>
      </c>
      <c r="GX1531">
        <v>1</v>
      </c>
    </row>
    <row r="1532" spans="1:206" x14ac:dyDescent="0.25">
      <c r="A1532" t="s">
        <v>376</v>
      </c>
      <c r="B1532" t="s">
        <v>377</v>
      </c>
      <c r="C1532" s="3">
        <v>6.36</v>
      </c>
      <c r="D1532" s="3">
        <v>3.2</v>
      </c>
      <c r="E1532" t="s">
        <v>15</v>
      </c>
      <c r="F1532" t="s">
        <v>22</v>
      </c>
      <c r="G1532" t="s">
        <v>106</v>
      </c>
      <c r="I1532" t="s">
        <v>12</v>
      </c>
      <c r="J1532" t="s">
        <v>12</v>
      </c>
      <c r="K1532" t="s">
        <v>15</v>
      </c>
      <c r="L1532" t="s">
        <v>378</v>
      </c>
      <c r="M1532" t="s">
        <v>1007</v>
      </c>
      <c r="O1532">
        <v>25.55</v>
      </c>
      <c r="P1532">
        <v>15.93</v>
      </c>
      <c r="GP1532">
        <v>1</v>
      </c>
      <c r="GQ1532">
        <v>1</v>
      </c>
      <c r="GR1532">
        <v>1</v>
      </c>
      <c r="GS1532">
        <v>1</v>
      </c>
      <c r="GT1532">
        <v>1</v>
      </c>
      <c r="GU1532">
        <v>1</v>
      </c>
      <c r="GV1532">
        <v>1</v>
      </c>
      <c r="GW1532">
        <v>1</v>
      </c>
      <c r="GX1532">
        <v>1</v>
      </c>
    </row>
    <row r="1533" spans="1:206" x14ac:dyDescent="0.25">
      <c r="A1533" t="s">
        <v>376</v>
      </c>
      <c r="B1533" t="s">
        <v>377</v>
      </c>
      <c r="C1533" s="3">
        <v>6.32</v>
      </c>
      <c r="D1533" s="3">
        <v>3.23</v>
      </c>
      <c r="E1533" t="s">
        <v>15</v>
      </c>
      <c r="F1533" t="s">
        <v>21</v>
      </c>
      <c r="G1533" t="s">
        <v>106</v>
      </c>
      <c r="I1533" t="s">
        <v>12</v>
      </c>
      <c r="J1533" t="s">
        <v>12</v>
      </c>
      <c r="K1533" t="s">
        <v>15</v>
      </c>
      <c r="L1533" t="s">
        <v>378</v>
      </c>
      <c r="M1533" t="s">
        <v>1007</v>
      </c>
      <c r="O1533">
        <v>28.01</v>
      </c>
      <c r="P1533">
        <v>15.15</v>
      </c>
      <c r="GP1533">
        <v>1</v>
      </c>
      <c r="GQ1533">
        <v>1</v>
      </c>
      <c r="GR1533">
        <v>1</v>
      </c>
      <c r="GS1533">
        <v>1</v>
      </c>
      <c r="GT1533">
        <v>1</v>
      </c>
      <c r="GU1533">
        <v>1</v>
      </c>
      <c r="GV1533">
        <v>1</v>
      </c>
      <c r="GW1533">
        <v>1</v>
      </c>
      <c r="GX1533">
        <v>1</v>
      </c>
    </row>
    <row r="1534" spans="1:206" x14ac:dyDescent="0.25">
      <c r="A1534" t="s">
        <v>685</v>
      </c>
      <c r="B1534" t="s">
        <v>252</v>
      </c>
      <c r="C1534" s="3">
        <v>32.85</v>
      </c>
      <c r="D1534" s="3">
        <v>72.75</v>
      </c>
      <c r="E1534" t="s">
        <v>12</v>
      </c>
      <c r="F1534" t="s">
        <v>34</v>
      </c>
      <c r="G1534" t="s">
        <v>683</v>
      </c>
      <c r="I1534" t="s">
        <v>12</v>
      </c>
      <c r="J1534" t="s">
        <v>12</v>
      </c>
      <c r="K1534" t="s">
        <v>12</v>
      </c>
      <c r="L1534" t="s">
        <v>783</v>
      </c>
      <c r="M1534" t="s">
        <v>846</v>
      </c>
      <c r="O1534">
        <v>413</v>
      </c>
      <c r="P1534">
        <v>495</v>
      </c>
      <c r="EQ1534">
        <v>1</v>
      </c>
      <c r="ER1534">
        <v>1</v>
      </c>
      <c r="ES1534">
        <v>1</v>
      </c>
      <c r="ET1534">
        <v>1</v>
      </c>
    </row>
    <row r="1535" spans="1:206" x14ac:dyDescent="0.25">
      <c r="A1535" t="s">
        <v>684</v>
      </c>
      <c r="B1535" t="s">
        <v>252</v>
      </c>
      <c r="C1535" s="3">
        <v>32.799999999999997</v>
      </c>
      <c r="D1535" s="3">
        <v>74.09</v>
      </c>
      <c r="E1535" t="s">
        <v>12</v>
      </c>
      <c r="F1535" t="s">
        <v>20</v>
      </c>
      <c r="G1535" t="s">
        <v>683</v>
      </c>
      <c r="I1535" t="s">
        <v>12</v>
      </c>
      <c r="J1535" t="s">
        <v>12</v>
      </c>
      <c r="K1535" t="s">
        <v>12</v>
      </c>
      <c r="L1535" t="s">
        <v>783</v>
      </c>
      <c r="M1535" t="s">
        <v>846</v>
      </c>
      <c r="O1535">
        <v>182</v>
      </c>
      <c r="P1535">
        <v>132</v>
      </c>
      <c r="EQ1535">
        <v>1</v>
      </c>
      <c r="ER1535">
        <v>1</v>
      </c>
      <c r="ES1535">
        <v>1</v>
      </c>
      <c r="ET1535">
        <v>1</v>
      </c>
    </row>
    <row r="1536" spans="1:206" x14ac:dyDescent="0.25">
      <c r="A1536" t="s">
        <v>293</v>
      </c>
      <c r="B1536" t="s">
        <v>252</v>
      </c>
      <c r="C1536" s="3">
        <v>33.659999999999997</v>
      </c>
      <c r="D1536" s="3">
        <v>73.260000000000005</v>
      </c>
      <c r="E1536" t="s">
        <v>15</v>
      </c>
      <c r="F1536" t="s">
        <v>21</v>
      </c>
      <c r="G1536" t="s">
        <v>106</v>
      </c>
      <c r="I1536" t="s">
        <v>12</v>
      </c>
      <c r="J1536" t="s">
        <v>12</v>
      </c>
      <c r="K1536" t="s">
        <v>12</v>
      </c>
      <c r="L1536" t="s">
        <v>560</v>
      </c>
      <c r="M1536" t="s">
        <v>906</v>
      </c>
      <c r="O1536">
        <v>14.43</v>
      </c>
      <c r="P1536">
        <v>9.82</v>
      </c>
      <c r="CW1536">
        <v>1</v>
      </c>
      <c r="CX1536">
        <v>1</v>
      </c>
      <c r="CY1536">
        <v>1</v>
      </c>
      <c r="CZ1536">
        <v>1</v>
      </c>
      <c r="DA1536">
        <v>1</v>
      </c>
      <c r="DB1536">
        <v>1</v>
      </c>
      <c r="DC1536">
        <v>1</v>
      </c>
      <c r="DD1536">
        <v>1</v>
      </c>
      <c r="DE1536">
        <v>1</v>
      </c>
      <c r="DF1536">
        <v>1</v>
      </c>
      <c r="DG1536">
        <v>1</v>
      </c>
      <c r="DH1536">
        <v>1</v>
      </c>
      <c r="DI1536">
        <v>1</v>
      </c>
      <c r="DJ1536">
        <v>1</v>
      </c>
      <c r="DK1536">
        <v>1</v>
      </c>
      <c r="DL1536">
        <v>1</v>
      </c>
      <c r="DM1536">
        <v>1</v>
      </c>
      <c r="DN1536">
        <v>1</v>
      </c>
      <c r="DO1536">
        <v>1</v>
      </c>
      <c r="DP1536">
        <v>1</v>
      </c>
      <c r="DQ1536">
        <v>1</v>
      </c>
      <c r="DR1536">
        <v>1</v>
      </c>
      <c r="DS1536">
        <v>1</v>
      </c>
      <c r="DT1536">
        <v>1</v>
      </c>
      <c r="DU1536">
        <v>1</v>
      </c>
      <c r="DV1536">
        <v>1</v>
      </c>
      <c r="DW1536">
        <v>1</v>
      </c>
      <c r="DX1536">
        <v>1</v>
      </c>
      <c r="DY1536">
        <v>1</v>
      </c>
      <c r="DZ1536">
        <v>1</v>
      </c>
      <c r="EA1536">
        <v>1</v>
      </c>
      <c r="EB1536">
        <v>1</v>
      </c>
      <c r="EC1536">
        <v>1</v>
      </c>
      <c r="ED1536">
        <v>1</v>
      </c>
      <c r="EE1536">
        <v>1</v>
      </c>
      <c r="EF1536">
        <v>1</v>
      </c>
      <c r="EG1536">
        <v>1</v>
      </c>
      <c r="EH1536">
        <v>1</v>
      </c>
      <c r="EI1536">
        <v>1</v>
      </c>
      <c r="EJ1536">
        <v>1</v>
      </c>
      <c r="EK1536">
        <v>1</v>
      </c>
      <c r="EL1536">
        <v>1</v>
      </c>
      <c r="EM1536">
        <v>1</v>
      </c>
      <c r="EN1536">
        <v>1</v>
      </c>
      <c r="EO1536">
        <v>1</v>
      </c>
      <c r="EP1536">
        <v>1</v>
      </c>
      <c r="EQ1536">
        <v>1</v>
      </c>
      <c r="ER1536">
        <v>1</v>
      </c>
    </row>
    <row r="1537" spans="1:173" x14ac:dyDescent="0.25">
      <c r="A1537" t="s">
        <v>293</v>
      </c>
      <c r="B1537" t="s">
        <v>252</v>
      </c>
      <c r="C1537" s="3">
        <v>33.75</v>
      </c>
      <c r="D1537" s="3">
        <v>73.14</v>
      </c>
      <c r="E1537" t="s">
        <v>34</v>
      </c>
      <c r="F1537" t="s">
        <v>77</v>
      </c>
      <c r="G1537" t="s">
        <v>106</v>
      </c>
      <c r="I1537" t="s">
        <v>12</v>
      </c>
      <c r="J1537" t="s">
        <v>12</v>
      </c>
      <c r="K1537" t="s">
        <v>15</v>
      </c>
      <c r="L1537" t="s">
        <v>294</v>
      </c>
      <c r="M1537" t="s">
        <v>1048</v>
      </c>
      <c r="O1537">
        <f>4.67+8.09</f>
        <v>12.76</v>
      </c>
      <c r="DQ1537">
        <v>1</v>
      </c>
      <c r="DR1537">
        <v>1</v>
      </c>
      <c r="DS1537">
        <v>1</v>
      </c>
      <c r="DT1537">
        <v>1</v>
      </c>
      <c r="DU1537">
        <v>1</v>
      </c>
      <c r="DV1537">
        <v>1</v>
      </c>
      <c r="DW1537">
        <v>1</v>
      </c>
    </row>
    <row r="1538" spans="1:173" x14ac:dyDescent="0.25">
      <c r="A1538" t="s">
        <v>443</v>
      </c>
      <c r="B1538" t="s">
        <v>252</v>
      </c>
      <c r="C1538" s="3">
        <v>24.94</v>
      </c>
      <c r="D1538" s="3">
        <v>67.13</v>
      </c>
      <c r="E1538" t="s">
        <v>34</v>
      </c>
      <c r="F1538" t="s">
        <v>77</v>
      </c>
      <c r="G1538" t="s">
        <v>106</v>
      </c>
      <c r="H1538">
        <v>35</v>
      </c>
      <c r="I1538" t="s">
        <v>12</v>
      </c>
      <c r="J1538" t="s">
        <v>12</v>
      </c>
      <c r="K1538" t="s">
        <v>15</v>
      </c>
      <c r="L1538" t="s">
        <v>442</v>
      </c>
      <c r="M1538" t="s">
        <v>979</v>
      </c>
      <c r="O1538">
        <v>98.44</v>
      </c>
      <c r="P1538">
        <v>11.5</v>
      </c>
      <c r="ES1538">
        <v>1</v>
      </c>
      <c r="ET1538">
        <v>1</v>
      </c>
      <c r="FD1538">
        <v>1</v>
      </c>
      <c r="FE1538">
        <v>1</v>
      </c>
      <c r="FF1538">
        <v>1</v>
      </c>
      <c r="FP1538">
        <v>1</v>
      </c>
      <c r="FQ1538">
        <v>1</v>
      </c>
    </row>
    <row r="1539" spans="1:173" x14ac:dyDescent="0.25">
      <c r="A1539" t="s">
        <v>443</v>
      </c>
      <c r="B1539" t="s">
        <v>252</v>
      </c>
      <c r="C1539" s="3">
        <v>24.94</v>
      </c>
      <c r="D1539" s="3">
        <v>67.13</v>
      </c>
      <c r="E1539" t="s">
        <v>34</v>
      </c>
      <c r="F1539" t="s">
        <v>77</v>
      </c>
      <c r="G1539" t="s">
        <v>106</v>
      </c>
      <c r="H1539">
        <v>35</v>
      </c>
      <c r="I1539" t="s">
        <v>12</v>
      </c>
      <c r="J1539" t="s">
        <v>12</v>
      </c>
      <c r="K1539" t="s">
        <v>15</v>
      </c>
      <c r="L1539" t="s">
        <v>442</v>
      </c>
      <c r="M1539" t="s">
        <v>979</v>
      </c>
      <c r="O1539">
        <v>55.89</v>
      </c>
      <c r="P1539">
        <v>10.59</v>
      </c>
      <c r="EU1539">
        <v>1</v>
      </c>
      <c r="EV1539">
        <v>1</v>
      </c>
      <c r="EW1539">
        <v>1</v>
      </c>
      <c r="FG1539">
        <v>1</v>
      </c>
      <c r="FH1539">
        <v>1</v>
      </c>
      <c r="FI1539">
        <v>1</v>
      </c>
    </row>
    <row r="1540" spans="1:173" x14ac:dyDescent="0.25">
      <c r="A1540" t="s">
        <v>443</v>
      </c>
      <c r="B1540" t="s">
        <v>252</v>
      </c>
      <c r="C1540" s="3">
        <v>24.94</v>
      </c>
      <c r="D1540" s="3">
        <v>67.13</v>
      </c>
      <c r="E1540" t="s">
        <v>34</v>
      </c>
      <c r="F1540" t="s">
        <v>77</v>
      </c>
      <c r="G1540" t="s">
        <v>106</v>
      </c>
      <c r="H1540">
        <v>35</v>
      </c>
      <c r="I1540" t="s">
        <v>12</v>
      </c>
      <c r="J1540" t="s">
        <v>12</v>
      </c>
      <c r="K1540" t="s">
        <v>15</v>
      </c>
      <c r="L1540" t="s">
        <v>442</v>
      </c>
      <c r="M1540" t="s">
        <v>979</v>
      </c>
      <c r="O1540">
        <v>46.475999999999999</v>
      </c>
      <c r="P1540">
        <v>4.9400000000000004</v>
      </c>
      <c r="EX1540">
        <v>1</v>
      </c>
      <c r="EY1540">
        <v>1</v>
      </c>
      <c r="EZ1540">
        <v>1</v>
      </c>
      <c r="FA1540">
        <v>1</v>
      </c>
      <c r="FJ1540">
        <v>1</v>
      </c>
      <c r="FK1540">
        <v>1</v>
      </c>
      <c r="FL1540">
        <v>1</v>
      </c>
      <c r="FM1540">
        <v>1</v>
      </c>
    </row>
    <row r="1541" spans="1:173" x14ac:dyDescent="0.25">
      <c r="A1541" t="s">
        <v>443</v>
      </c>
      <c r="B1541" t="s">
        <v>252</v>
      </c>
      <c r="C1541" s="3">
        <v>24.94</v>
      </c>
      <c r="D1541" s="3">
        <v>67.13</v>
      </c>
      <c r="E1541" t="s">
        <v>34</v>
      </c>
      <c r="F1541" t="s">
        <v>77</v>
      </c>
      <c r="G1541" t="s">
        <v>106</v>
      </c>
      <c r="H1541">
        <v>35</v>
      </c>
      <c r="I1541" t="s">
        <v>12</v>
      </c>
      <c r="J1541" t="s">
        <v>12</v>
      </c>
      <c r="K1541" t="s">
        <v>15</v>
      </c>
      <c r="L1541" t="s">
        <v>442</v>
      </c>
      <c r="M1541" t="s">
        <v>979</v>
      </c>
      <c r="O1541">
        <v>116.976</v>
      </c>
      <c r="P1541">
        <v>50.74</v>
      </c>
      <c r="FB1541">
        <v>1</v>
      </c>
      <c r="FC1541">
        <v>1</v>
      </c>
      <c r="FN1541">
        <v>1</v>
      </c>
      <c r="FO1541">
        <v>1</v>
      </c>
    </row>
    <row r="1542" spans="1:173" x14ac:dyDescent="0.25">
      <c r="A1542" t="s">
        <v>251</v>
      </c>
      <c r="B1542" t="s">
        <v>252</v>
      </c>
      <c r="C1542" s="3">
        <v>31.49</v>
      </c>
      <c r="D1542" s="3">
        <v>74.290000000000006</v>
      </c>
      <c r="E1542" t="s">
        <v>12</v>
      </c>
      <c r="F1542" t="s">
        <v>20</v>
      </c>
      <c r="G1542" t="s">
        <v>683</v>
      </c>
      <c r="I1542" t="s">
        <v>12</v>
      </c>
      <c r="J1542" t="s">
        <v>12</v>
      </c>
      <c r="K1542" t="s">
        <v>12</v>
      </c>
      <c r="L1542" t="s">
        <v>845</v>
      </c>
      <c r="M1542" t="s">
        <v>844</v>
      </c>
      <c r="O1542">
        <v>58</v>
      </c>
      <c r="P1542">
        <v>28</v>
      </c>
      <c r="FO1542">
        <v>1</v>
      </c>
    </row>
    <row r="1543" spans="1:173" x14ac:dyDescent="0.25">
      <c r="A1543" t="s">
        <v>251</v>
      </c>
      <c r="B1543" t="s">
        <v>252</v>
      </c>
      <c r="C1543" s="3">
        <v>31.49</v>
      </c>
      <c r="D1543" s="3">
        <v>74.290000000000006</v>
      </c>
      <c r="E1543" t="s">
        <v>12</v>
      </c>
      <c r="F1543" t="s">
        <v>34</v>
      </c>
      <c r="G1543" t="s">
        <v>683</v>
      </c>
      <c r="I1543" t="s">
        <v>12</v>
      </c>
      <c r="J1543" t="s">
        <v>12</v>
      </c>
      <c r="K1543" t="s">
        <v>12</v>
      </c>
      <c r="L1543" t="s">
        <v>845</v>
      </c>
      <c r="M1543" t="s">
        <v>844</v>
      </c>
      <c r="O1543">
        <v>91</v>
      </c>
      <c r="P1543">
        <v>53</v>
      </c>
      <c r="FO1543">
        <v>1</v>
      </c>
    </row>
    <row r="1544" spans="1:173" x14ac:dyDescent="0.25">
      <c r="A1544" t="s">
        <v>251</v>
      </c>
      <c r="B1544" t="s">
        <v>252</v>
      </c>
      <c r="C1544" s="3">
        <v>31.55</v>
      </c>
      <c r="D1544" s="3">
        <v>74.34</v>
      </c>
      <c r="E1544" t="s">
        <v>12</v>
      </c>
      <c r="F1544" t="s">
        <v>21</v>
      </c>
      <c r="G1544" t="s">
        <v>683</v>
      </c>
      <c r="I1544" t="s">
        <v>12</v>
      </c>
      <c r="J1544" t="s">
        <v>12</v>
      </c>
      <c r="K1544" t="s">
        <v>12</v>
      </c>
      <c r="L1544" t="s">
        <v>783</v>
      </c>
      <c r="M1544" t="s">
        <v>846</v>
      </c>
      <c r="O1544">
        <v>142</v>
      </c>
      <c r="P1544">
        <v>81</v>
      </c>
      <c r="EQ1544">
        <v>1</v>
      </c>
      <c r="ER1544">
        <v>1</v>
      </c>
      <c r="ES1544">
        <v>1</v>
      </c>
      <c r="ET1544">
        <v>1</v>
      </c>
    </row>
    <row r="1545" spans="1:173" x14ac:dyDescent="0.25">
      <c r="A1545" t="s">
        <v>251</v>
      </c>
      <c r="B1545" t="s">
        <v>252</v>
      </c>
      <c r="C1545" s="3">
        <v>31.47</v>
      </c>
      <c r="D1545" s="3">
        <v>74.253</v>
      </c>
      <c r="E1545" t="s">
        <v>12</v>
      </c>
      <c r="F1545" t="s">
        <v>21</v>
      </c>
      <c r="G1545" t="s">
        <v>106</v>
      </c>
      <c r="I1545" t="s">
        <v>12</v>
      </c>
      <c r="J1545" t="s">
        <v>15</v>
      </c>
      <c r="K1545" t="s">
        <v>15</v>
      </c>
      <c r="L1545" t="s">
        <v>453</v>
      </c>
      <c r="M1545" t="s">
        <v>972</v>
      </c>
      <c r="O1545">
        <v>175</v>
      </c>
      <c r="P1545">
        <v>88.52</v>
      </c>
      <c r="FC1545">
        <v>1</v>
      </c>
      <c r="FD1545">
        <v>1</v>
      </c>
      <c r="FE1545">
        <v>1</v>
      </c>
      <c r="FF1545">
        <v>1</v>
      </c>
    </row>
    <row r="1546" spans="1:173" x14ac:dyDescent="0.25">
      <c r="A1546" t="s">
        <v>251</v>
      </c>
      <c r="B1546" t="s">
        <v>252</v>
      </c>
      <c r="C1546" s="3">
        <v>31.47</v>
      </c>
      <c r="D1546" s="3">
        <v>74.253</v>
      </c>
      <c r="E1546" t="s">
        <v>12</v>
      </c>
      <c r="F1546" t="s">
        <v>21</v>
      </c>
      <c r="G1546" t="s">
        <v>106</v>
      </c>
      <c r="I1546" t="s">
        <v>12</v>
      </c>
      <c r="J1546" t="s">
        <v>15</v>
      </c>
      <c r="K1546" t="s">
        <v>15</v>
      </c>
      <c r="L1546" t="s">
        <v>453</v>
      </c>
      <c r="M1546" t="s">
        <v>972</v>
      </c>
      <c r="O1546">
        <v>93.35</v>
      </c>
      <c r="P1546">
        <v>64.77</v>
      </c>
      <c r="FI1546">
        <v>1</v>
      </c>
      <c r="FJ1546">
        <v>1</v>
      </c>
    </row>
    <row r="1547" spans="1:173" x14ac:dyDescent="0.25">
      <c r="A1547" t="s">
        <v>251</v>
      </c>
      <c r="B1547" t="s">
        <v>252</v>
      </c>
      <c r="C1547" s="3">
        <v>31.47</v>
      </c>
      <c r="D1547" s="3">
        <v>74.253</v>
      </c>
      <c r="E1547" t="s">
        <v>12</v>
      </c>
      <c r="F1547" t="s">
        <v>21</v>
      </c>
      <c r="G1547" t="s">
        <v>106</v>
      </c>
      <c r="I1547" t="s">
        <v>12</v>
      </c>
      <c r="J1547" t="s">
        <v>15</v>
      </c>
      <c r="K1547" t="s">
        <v>15</v>
      </c>
      <c r="L1547" t="s">
        <v>453</v>
      </c>
      <c r="M1547" t="s">
        <v>972</v>
      </c>
      <c r="O1547">
        <v>36.78</v>
      </c>
      <c r="P1547">
        <v>12.06</v>
      </c>
      <c r="FK1547">
        <v>1</v>
      </c>
      <c r="FL1547">
        <v>1</v>
      </c>
    </row>
    <row r="1548" spans="1:173" x14ac:dyDescent="0.25">
      <c r="A1548" t="s">
        <v>251</v>
      </c>
      <c r="B1548" t="s">
        <v>252</v>
      </c>
      <c r="C1548" s="3">
        <v>31.47</v>
      </c>
      <c r="D1548" s="3">
        <v>74.253</v>
      </c>
      <c r="E1548" t="s">
        <v>12</v>
      </c>
      <c r="F1548" t="s">
        <v>21</v>
      </c>
      <c r="G1548" t="s">
        <v>106</v>
      </c>
      <c r="I1548" t="s">
        <v>12</v>
      </c>
      <c r="J1548" t="s">
        <v>15</v>
      </c>
      <c r="K1548" t="s">
        <v>15</v>
      </c>
      <c r="L1548" t="s">
        <v>453</v>
      </c>
      <c r="M1548" t="s">
        <v>972</v>
      </c>
      <c r="O1548">
        <v>47.61</v>
      </c>
      <c r="P1548">
        <v>36.549999999999997</v>
      </c>
      <c r="FM1548">
        <v>1</v>
      </c>
      <c r="FN1548">
        <v>1</v>
      </c>
    </row>
    <row r="1549" spans="1:173" x14ac:dyDescent="0.25">
      <c r="A1549" t="s">
        <v>251</v>
      </c>
      <c r="B1549" t="s">
        <v>252</v>
      </c>
      <c r="C1549" s="3">
        <v>31.56</v>
      </c>
      <c r="D1549" s="3">
        <v>74.349999999999994</v>
      </c>
      <c r="E1549" t="s">
        <v>12</v>
      </c>
      <c r="F1549" t="s">
        <v>77</v>
      </c>
      <c r="G1549" t="s">
        <v>76</v>
      </c>
      <c r="I1549" t="s">
        <v>15</v>
      </c>
      <c r="J1549" t="s">
        <v>15</v>
      </c>
      <c r="K1549" t="s">
        <v>12</v>
      </c>
      <c r="L1549" t="s">
        <v>1064</v>
      </c>
      <c r="M1549" t="s">
        <v>1063</v>
      </c>
      <c r="O1549">
        <v>294.89999999999998</v>
      </c>
      <c r="FE1549">
        <v>0.5</v>
      </c>
      <c r="FQ1549">
        <v>0.5</v>
      </c>
    </row>
    <row r="1550" spans="1:173" x14ac:dyDescent="0.25">
      <c r="A1550" t="s">
        <v>251</v>
      </c>
      <c r="B1550" t="s">
        <v>252</v>
      </c>
      <c r="C1550" s="3">
        <v>31.56</v>
      </c>
      <c r="D1550" s="3">
        <v>74.349999999999994</v>
      </c>
      <c r="E1550" t="s">
        <v>12</v>
      </c>
      <c r="F1550" t="s">
        <v>77</v>
      </c>
      <c r="G1550" t="s">
        <v>76</v>
      </c>
      <c r="I1550" t="s">
        <v>15</v>
      </c>
      <c r="J1550" t="s">
        <v>15</v>
      </c>
      <c r="K1550" t="s">
        <v>12</v>
      </c>
      <c r="L1550" t="s">
        <v>1064</v>
      </c>
      <c r="M1550" t="s">
        <v>1063</v>
      </c>
      <c r="O1550">
        <v>204.5</v>
      </c>
      <c r="FF1550">
        <v>1</v>
      </c>
    </row>
    <row r="1551" spans="1:173" x14ac:dyDescent="0.25">
      <c r="A1551" t="s">
        <v>251</v>
      </c>
      <c r="B1551" t="s">
        <v>252</v>
      </c>
      <c r="C1551" s="3">
        <v>31.56</v>
      </c>
      <c r="D1551" s="3">
        <v>74.349999999999994</v>
      </c>
      <c r="E1551" t="s">
        <v>12</v>
      </c>
      <c r="F1551" t="s">
        <v>77</v>
      </c>
      <c r="G1551" t="s">
        <v>76</v>
      </c>
      <c r="I1551" t="s">
        <v>15</v>
      </c>
      <c r="J1551" t="s">
        <v>15</v>
      </c>
      <c r="K1551" t="s">
        <v>12</v>
      </c>
      <c r="L1551" t="s">
        <v>1064</v>
      </c>
      <c r="M1551" t="s">
        <v>1063</v>
      </c>
      <c r="O1551">
        <v>177.1</v>
      </c>
      <c r="FG1551">
        <v>1</v>
      </c>
    </row>
    <row r="1552" spans="1:173" x14ac:dyDescent="0.25">
      <c r="A1552" t="s">
        <v>251</v>
      </c>
      <c r="B1552" t="s">
        <v>252</v>
      </c>
      <c r="C1552" s="3">
        <v>31.56</v>
      </c>
      <c r="D1552" s="3">
        <v>74.349999999999994</v>
      </c>
      <c r="E1552" t="s">
        <v>12</v>
      </c>
      <c r="F1552" t="s">
        <v>77</v>
      </c>
      <c r="G1552" t="s">
        <v>76</v>
      </c>
      <c r="I1552" t="s">
        <v>15</v>
      </c>
      <c r="J1552" t="s">
        <v>15</v>
      </c>
      <c r="K1552" t="s">
        <v>12</v>
      </c>
      <c r="L1552" t="s">
        <v>1064</v>
      </c>
      <c r="M1552" t="s">
        <v>1063</v>
      </c>
      <c r="O1552">
        <v>189.1</v>
      </c>
      <c r="FH1552">
        <v>1</v>
      </c>
    </row>
    <row r="1553" spans="1:172" x14ac:dyDescent="0.25">
      <c r="A1553" t="s">
        <v>251</v>
      </c>
      <c r="B1553" t="s">
        <v>252</v>
      </c>
      <c r="C1553" s="3">
        <v>31.56</v>
      </c>
      <c r="D1553" s="3">
        <v>74.349999999999994</v>
      </c>
      <c r="E1553" t="s">
        <v>12</v>
      </c>
      <c r="F1553" t="s">
        <v>77</v>
      </c>
      <c r="G1553" t="s">
        <v>76</v>
      </c>
      <c r="I1553" t="s">
        <v>15</v>
      </c>
      <c r="J1553" t="s">
        <v>15</v>
      </c>
      <c r="K1553" t="s">
        <v>12</v>
      </c>
      <c r="L1553" t="s">
        <v>1064</v>
      </c>
      <c r="M1553" t="s">
        <v>1063</v>
      </c>
      <c r="O1553">
        <v>138</v>
      </c>
      <c r="FI1553">
        <v>1</v>
      </c>
    </row>
    <row r="1554" spans="1:172" x14ac:dyDescent="0.25">
      <c r="A1554" t="s">
        <v>251</v>
      </c>
      <c r="B1554" t="s">
        <v>252</v>
      </c>
      <c r="C1554" s="3">
        <v>31.56</v>
      </c>
      <c r="D1554" s="3">
        <v>74.349999999999994</v>
      </c>
      <c r="E1554" t="s">
        <v>12</v>
      </c>
      <c r="F1554" t="s">
        <v>77</v>
      </c>
      <c r="G1554" t="s">
        <v>76</v>
      </c>
      <c r="I1554" t="s">
        <v>15</v>
      </c>
      <c r="J1554" t="s">
        <v>15</v>
      </c>
      <c r="K1554" t="s">
        <v>12</v>
      </c>
      <c r="L1554" t="s">
        <v>1064</v>
      </c>
      <c r="M1554" t="s">
        <v>1063</v>
      </c>
      <c r="O1554">
        <v>117.5</v>
      </c>
      <c r="FJ1554">
        <v>1</v>
      </c>
    </row>
    <row r="1555" spans="1:172" x14ac:dyDescent="0.25">
      <c r="A1555" t="s">
        <v>251</v>
      </c>
      <c r="B1555" t="s">
        <v>252</v>
      </c>
      <c r="C1555" s="3">
        <v>31.56</v>
      </c>
      <c r="D1555" s="3">
        <v>74.349999999999994</v>
      </c>
      <c r="E1555" t="s">
        <v>12</v>
      </c>
      <c r="F1555" t="s">
        <v>77</v>
      </c>
      <c r="G1555" t="s">
        <v>76</v>
      </c>
      <c r="I1555" t="s">
        <v>15</v>
      </c>
      <c r="J1555" t="s">
        <v>15</v>
      </c>
      <c r="K1555" t="s">
        <v>12</v>
      </c>
      <c r="L1555" t="s">
        <v>1064</v>
      </c>
      <c r="M1555" t="s">
        <v>1063</v>
      </c>
      <c r="O1555">
        <v>96.1</v>
      </c>
      <c r="FK1555">
        <v>1</v>
      </c>
    </row>
    <row r="1556" spans="1:172" x14ac:dyDescent="0.25">
      <c r="A1556" t="s">
        <v>251</v>
      </c>
      <c r="B1556" t="s">
        <v>252</v>
      </c>
      <c r="C1556" s="3">
        <v>31.56</v>
      </c>
      <c r="D1556" s="3">
        <v>74.349999999999994</v>
      </c>
      <c r="E1556" t="s">
        <v>12</v>
      </c>
      <c r="F1556" t="s">
        <v>77</v>
      </c>
      <c r="G1556" t="s">
        <v>76</v>
      </c>
      <c r="I1556" t="s">
        <v>15</v>
      </c>
      <c r="J1556" t="s">
        <v>15</v>
      </c>
      <c r="K1556" t="s">
        <v>12</v>
      </c>
      <c r="L1556" t="s">
        <v>1064</v>
      </c>
      <c r="M1556" t="s">
        <v>1063</v>
      </c>
      <c r="O1556">
        <v>113.5</v>
      </c>
      <c r="FL1556">
        <v>1</v>
      </c>
    </row>
    <row r="1557" spans="1:172" x14ac:dyDescent="0.25">
      <c r="A1557" t="s">
        <v>251</v>
      </c>
      <c r="B1557" t="s">
        <v>252</v>
      </c>
      <c r="C1557" s="3">
        <v>31.56</v>
      </c>
      <c r="D1557" s="3">
        <v>74.349999999999994</v>
      </c>
      <c r="E1557" t="s">
        <v>12</v>
      </c>
      <c r="F1557" t="s">
        <v>77</v>
      </c>
      <c r="G1557" t="s">
        <v>76</v>
      </c>
      <c r="I1557" t="s">
        <v>15</v>
      </c>
      <c r="J1557" t="s">
        <v>15</v>
      </c>
      <c r="K1557" t="s">
        <v>12</v>
      </c>
      <c r="L1557" t="s">
        <v>1064</v>
      </c>
      <c r="M1557" t="s">
        <v>1063</v>
      </c>
      <c r="O1557">
        <v>268.10000000000002</v>
      </c>
      <c r="FM1557">
        <v>1</v>
      </c>
    </row>
    <row r="1558" spans="1:172" x14ac:dyDescent="0.25">
      <c r="A1558" t="s">
        <v>251</v>
      </c>
      <c r="B1558" t="s">
        <v>252</v>
      </c>
      <c r="C1558" s="3">
        <v>31.56</v>
      </c>
      <c r="D1558" s="3">
        <v>74.349999999999994</v>
      </c>
      <c r="E1558" t="s">
        <v>12</v>
      </c>
      <c r="F1558" t="s">
        <v>77</v>
      </c>
      <c r="G1558" t="s">
        <v>76</v>
      </c>
      <c r="I1558" t="s">
        <v>15</v>
      </c>
      <c r="J1558" t="s">
        <v>15</v>
      </c>
      <c r="K1558" t="s">
        <v>12</v>
      </c>
      <c r="L1558" t="s">
        <v>1064</v>
      </c>
      <c r="M1558" t="s">
        <v>1063</v>
      </c>
      <c r="O1558">
        <v>343.3</v>
      </c>
      <c r="FN1558">
        <v>1</v>
      </c>
    </row>
    <row r="1559" spans="1:172" x14ac:dyDescent="0.25">
      <c r="A1559" t="s">
        <v>251</v>
      </c>
      <c r="B1559" t="s">
        <v>252</v>
      </c>
      <c r="C1559" s="3">
        <v>31.56</v>
      </c>
      <c r="D1559" s="3">
        <v>74.349999999999994</v>
      </c>
      <c r="E1559" t="s">
        <v>12</v>
      </c>
      <c r="F1559" t="s">
        <v>77</v>
      </c>
      <c r="G1559" t="s">
        <v>76</v>
      </c>
      <c r="I1559" t="s">
        <v>15</v>
      </c>
      <c r="J1559" t="s">
        <v>15</v>
      </c>
      <c r="K1559" t="s">
        <v>12</v>
      </c>
      <c r="L1559" t="s">
        <v>1064</v>
      </c>
      <c r="M1559" t="s">
        <v>1063</v>
      </c>
      <c r="O1559">
        <v>258.60000000000002</v>
      </c>
      <c r="FO1559">
        <v>1</v>
      </c>
    </row>
    <row r="1560" spans="1:172" x14ac:dyDescent="0.25">
      <c r="A1560" t="s">
        <v>251</v>
      </c>
      <c r="B1560" t="s">
        <v>252</v>
      </c>
      <c r="C1560" s="3">
        <v>31.56</v>
      </c>
      <c r="D1560" s="3">
        <v>74.349999999999994</v>
      </c>
      <c r="E1560" t="s">
        <v>12</v>
      </c>
      <c r="F1560" t="s">
        <v>77</v>
      </c>
      <c r="G1560" t="s">
        <v>76</v>
      </c>
      <c r="I1560" t="s">
        <v>15</v>
      </c>
      <c r="J1560" t="s">
        <v>15</v>
      </c>
      <c r="K1560" t="s">
        <v>12</v>
      </c>
      <c r="L1560" t="s">
        <v>1064</v>
      </c>
      <c r="M1560" t="s">
        <v>1063</v>
      </c>
      <c r="O1560">
        <v>215</v>
      </c>
      <c r="FP1560">
        <v>1</v>
      </c>
    </row>
    <row r="1561" spans="1:172" x14ac:dyDescent="0.25">
      <c r="A1561" t="s">
        <v>180</v>
      </c>
      <c r="B1561" t="s">
        <v>183</v>
      </c>
      <c r="C1561" s="3">
        <v>31.76</v>
      </c>
      <c r="D1561" s="3">
        <v>35.24</v>
      </c>
      <c r="E1561" t="s">
        <v>12</v>
      </c>
      <c r="F1561" t="s">
        <v>21</v>
      </c>
      <c r="G1561" t="s">
        <v>106</v>
      </c>
      <c r="I1561" t="s">
        <v>15</v>
      </c>
      <c r="J1561" t="s">
        <v>15</v>
      </c>
      <c r="K1561" t="s">
        <v>12</v>
      </c>
      <c r="L1561" t="s">
        <v>298</v>
      </c>
      <c r="M1561" t="s">
        <v>1044</v>
      </c>
      <c r="O1561">
        <v>23.8</v>
      </c>
      <c r="P1561">
        <v>7.9</v>
      </c>
      <c r="FE1561">
        <v>1</v>
      </c>
      <c r="FF1561">
        <v>1</v>
      </c>
      <c r="FG1561">
        <v>1</v>
      </c>
      <c r="FH1561">
        <v>1</v>
      </c>
      <c r="FI1561">
        <v>1</v>
      </c>
      <c r="FJ1561">
        <v>1</v>
      </c>
      <c r="FK1561">
        <v>1</v>
      </c>
      <c r="FL1561">
        <v>1</v>
      </c>
      <c r="FM1561">
        <v>1</v>
      </c>
      <c r="FN1561">
        <v>1</v>
      </c>
      <c r="FO1561">
        <v>1</v>
      </c>
      <c r="FP1561">
        <v>1</v>
      </c>
    </row>
    <row r="1562" spans="1:172" x14ac:dyDescent="0.25">
      <c r="A1562" t="s">
        <v>180</v>
      </c>
      <c r="B1562" t="s">
        <v>183</v>
      </c>
      <c r="C1562" s="3">
        <v>31.76</v>
      </c>
      <c r="D1562" s="3">
        <v>35.24</v>
      </c>
      <c r="E1562" t="s">
        <v>12</v>
      </c>
      <c r="F1562" t="s">
        <v>21</v>
      </c>
      <c r="G1562" t="s">
        <v>76</v>
      </c>
      <c r="I1562" t="s">
        <v>15</v>
      </c>
      <c r="J1562" t="s">
        <v>12</v>
      </c>
      <c r="K1562" t="s">
        <v>12</v>
      </c>
      <c r="L1562" t="s">
        <v>184</v>
      </c>
      <c r="M1562" t="s">
        <v>1090</v>
      </c>
      <c r="O1562">
        <v>27</v>
      </c>
      <c r="P1562">
        <v>10</v>
      </c>
      <c r="FE1562">
        <v>1</v>
      </c>
      <c r="FF1562">
        <v>1</v>
      </c>
      <c r="FG1562">
        <v>1</v>
      </c>
      <c r="FH1562">
        <v>1</v>
      </c>
      <c r="FI1562">
        <v>1</v>
      </c>
      <c r="FJ1562">
        <v>1</v>
      </c>
      <c r="FK1562">
        <v>1</v>
      </c>
      <c r="FL1562">
        <v>1</v>
      </c>
      <c r="FM1562">
        <v>1</v>
      </c>
      <c r="FN1562">
        <v>1</v>
      </c>
      <c r="FO1562">
        <v>1</v>
      </c>
      <c r="FP1562">
        <v>1</v>
      </c>
    </row>
    <row r="1563" spans="1:172" x14ac:dyDescent="0.25">
      <c r="A1563" t="s">
        <v>181</v>
      </c>
      <c r="B1563" t="s">
        <v>183</v>
      </c>
      <c r="C1563" s="3">
        <v>31.52</v>
      </c>
      <c r="D1563" s="3">
        <v>35.090000000000003</v>
      </c>
      <c r="E1563" t="s">
        <v>12</v>
      </c>
      <c r="F1563" t="s">
        <v>21</v>
      </c>
      <c r="G1563" t="s">
        <v>106</v>
      </c>
      <c r="I1563" t="s">
        <v>15</v>
      </c>
      <c r="J1563" t="s">
        <v>15</v>
      </c>
      <c r="K1563" t="s">
        <v>12</v>
      </c>
      <c r="L1563" t="s">
        <v>298</v>
      </c>
      <c r="M1563" t="s">
        <v>1044</v>
      </c>
      <c r="O1563">
        <v>21.1</v>
      </c>
      <c r="P1563">
        <v>7.5</v>
      </c>
      <c r="FE1563">
        <v>1</v>
      </c>
      <c r="FF1563">
        <v>1</v>
      </c>
      <c r="FG1563">
        <v>1</v>
      </c>
      <c r="FH1563">
        <v>1</v>
      </c>
      <c r="FI1563">
        <v>1</v>
      </c>
      <c r="FJ1563">
        <v>1</v>
      </c>
      <c r="FK1563">
        <v>1</v>
      </c>
      <c r="FL1563">
        <v>1</v>
      </c>
      <c r="FM1563">
        <v>1</v>
      </c>
      <c r="FN1563">
        <v>1</v>
      </c>
      <c r="FO1563">
        <v>1</v>
      </c>
      <c r="FP1563">
        <v>1</v>
      </c>
    </row>
    <row r="1564" spans="1:172" x14ac:dyDescent="0.25">
      <c r="A1564" t="s">
        <v>181</v>
      </c>
      <c r="B1564" t="s">
        <v>183</v>
      </c>
      <c r="C1564" s="3">
        <v>31.52</v>
      </c>
      <c r="D1564" s="3">
        <v>35.090000000000003</v>
      </c>
      <c r="E1564" t="s">
        <v>12</v>
      </c>
      <c r="F1564" t="s">
        <v>21</v>
      </c>
      <c r="G1564" t="s">
        <v>76</v>
      </c>
      <c r="I1564" t="s">
        <v>15</v>
      </c>
      <c r="J1564" t="s">
        <v>12</v>
      </c>
      <c r="K1564" t="s">
        <v>12</v>
      </c>
      <c r="L1564" t="s">
        <v>184</v>
      </c>
      <c r="M1564" t="s">
        <v>1090</v>
      </c>
      <c r="O1564">
        <v>23</v>
      </c>
      <c r="P1564">
        <v>5</v>
      </c>
      <c r="FE1564">
        <v>1</v>
      </c>
      <c r="FF1564">
        <v>1</v>
      </c>
      <c r="FG1564">
        <v>1</v>
      </c>
      <c r="FH1564">
        <v>1</v>
      </c>
      <c r="FI1564">
        <v>1</v>
      </c>
      <c r="FJ1564">
        <v>1</v>
      </c>
      <c r="FK1564">
        <v>1</v>
      </c>
      <c r="FL1564">
        <v>1</v>
      </c>
      <c r="FM1564">
        <v>1</v>
      </c>
      <c r="FN1564">
        <v>1</v>
      </c>
      <c r="FO1564">
        <v>1</v>
      </c>
      <c r="FP1564">
        <v>1</v>
      </c>
    </row>
    <row r="1565" spans="1:172" x14ac:dyDescent="0.25">
      <c r="A1565" t="s">
        <v>182</v>
      </c>
      <c r="B1565" t="s">
        <v>183</v>
      </c>
      <c r="C1565" s="3">
        <v>32.22</v>
      </c>
      <c r="D1565" s="3">
        <v>35.26</v>
      </c>
      <c r="E1565" t="s">
        <v>12</v>
      </c>
      <c r="F1565" t="s">
        <v>21</v>
      </c>
      <c r="G1565" t="s">
        <v>106</v>
      </c>
      <c r="I1565" t="s">
        <v>15</v>
      </c>
      <c r="J1565" t="s">
        <v>15</v>
      </c>
      <c r="K1565" t="s">
        <v>12</v>
      </c>
      <c r="L1565" t="s">
        <v>298</v>
      </c>
      <c r="M1565" t="s">
        <v>1044</v>
      </c>
      <c r="O1565">
        <v>27.6</v>
      </c>
      <c r="P1565">
        <v>7.9</v>
      </c>
      <c r="FE1565">
        <v>1</v>
      </c>
      <c r="FF1565">
        <v>1</v>
      </c>
      <c r="FG1565">
        <v>1</v>
      </c>
      <c r="FH1565">
        <v>1</v>
      </c>
      <c r="FI1565">
        <v>1</v>
      </c>
      <c r="FJ1565">
        <v>1</v>
      </c>
      <c r="FK1565">
        <v>1</v>
      </c>
      <c r="FL1565">
        <v>1</v>
      </c>
      <c r="FM1565">
        <v>1</v>
      </c>
      <c r="FN1565">
        <v>1</v>
      </c>
      <c r="FO1565">
        <v>1</v>
      </c>
      <c r="FP1565">
        <v>1</v>
      </c>
    </row>
    <row r="1566" spans="1:172" x14ac:dyDescent="0.25">
      <c r="A1566" t="s">
        <v>182</v>
      </c>
      <c r="B1566" t="s">
        <v>183</v>
      </c>
      <c r="C1566" s="3">
        <v>32.22</v>
      </c>
      <c r="D1566" s="3">
        <v>35.26</v>
      </c>
      <c r="E1566" t="s">
        <v>12</v>
      </c>
      <c r="F1566" t="s">
        <v>21</v>
      </c>
      <c r="G1566" t="s">
        <v>76</v>
      </c>
      <c r="I1566" t="s">
        <v>15</v>
      </c>
      <c r="J1566" t="s">
        <v>12</v>
      </c>
      <c r="K1566" t="s">
        <v>12</v>
      </c>
      <c r="L1566" t="s">
        <v>184</v>
      </c>
      <c r="M1566" t="s">
        <v>1090</v>
      </c>
      <c r="O1566">
        <v>31</v>
      </c>
      <c r="P1566">
        <v>6</v>
      </c>
      <c r="FE1566">
        <v>1</v>
      </c>
      <c r="FF1566">
        <v>1</v>
      </c>
      <c r="FG1566">
        <v>1</v>
      </c>
      <c r="FH1566">
        <v>1</v>
      </c>
      <c r="FI1566">
        <v>1</v>
      </c>
      <c r="FJ1566">
        <v>1</v>
      </c>
      <c r="FK1566">
        <v>1</v>
      </c>
      <c r="FL1566">
        <v>1</v>
      </c>
      <c r="FM1566">
        <v>1</v>
      </c>
      <c r="FN1566">
        <v>1</v>
      </c>
      <c r="FO1566">
        <v>1</v>
      </c>
      <c r="FP1566">
        <v>1</v>
      </c>
    </row>
    <row r="1567" spans="1:172" x14ac:dyDescent="0.25">
      <c r="A1567" t="s">
        <v>389</v>
      </c>
      <c r="B1567" t="s">
        <v>392</v>
      </c>
      <c r="C1567" s="3">
        <f>14+39/60</f>
        <v>14.65</v>
      </c>
      <c r="D1567" s="3">
        <f>121+3/60</f>
        <v>121.05</v>
      </c>
      <c r="E1567" t="s">
        <v>15</v>
      </c>
      <c r="F1567" t="s">
        <v>77</v>
      </c>
      <c r="G1567" t="s">
        <v>106</v>
      </c>
      <c r="I1567" t="s">
        <v>15</v>
      </c>
      <c r="J1567" t="s">
        <v>15</v>
      </c>
      <c r="K1567" t="s">
        <v>12</v>
      </c>
      <c r="L1567" t="s">
        <v>686</v>
      </c>
      <c r="M1567" t="s">
        <v>841</v>
      </c>
      <c r="O1567">
        <v>45</v>
      </c>
      <c r="P1567">
        <v>18</v>
      </c>
      <c r="CK1567">
        <v>1</v>
      </c>
      <c r="CL1567">
        <v>1</v>
      </c>
      <c r="CM1567">
        <v>1</v>
      </c>
      <c r="CN1567">
        <v>1</v>
      </c>
      <c r="CO1567">
        <v>1</v>
      </c>
      <c r="CP1567">
        <v>1</v>
      </c>
      <c r="CQ1567">
        <v>1</v>
      </c>
      <c r="CR1567">
        <v>1</v>
      </c>
      <c r="CS1567">
        <v>1</v>
      </c>
      <c r="CT1567">
        <v>1</v>
      </c>
      <c r="CU1567">
        <v>1</v>
      </c>
      <c r="CV1567">
        <v>1</v>
      </c>
    </row>
    <row r="1568" spans="1:172" x14ac:dyDescent="0.25">
      <c r="A1568" t="s">
        <v>389</v>
      </c>
      <c r="B1568" t="s">
        <v>392</v>
      </c>
      <c r="C1568" s="3">
        <f>14+39/60</f>
        <v>14.65</v>
      </c>
      <c r="D1568" s="3">
        <f>121+6/60</f>
        <v>121.1</v>
      </c>
      <c r="E1568" t="s">
        <v>15</v>
      </c>
      <c r="F1568" t="s">
        <v>77</v>
      </c>
      <c r="G1568" t="s">
        <v>106</v>
      </c>
      <c r="I1568" t="s">
        <v>15</v>
      </c>
      <c r="J1568" t="s">
        <v>15</v>
      </c>
      <c r="K1568" t="s">
        <v>15</v>
      </c>
      <c r="L1568" t="s">
        <v>843</v>
      </c>
      <c r="M1568" t="s">
        <v>842</v>
      </c>
      <c r="O1568">
        <v>46</v>
      </c>
      <c r="P1568">
        <v>19</v>
      </c>
      <c r="CK1568">
        <v>1</v>
      </c>
      <c r="CL1568">
        <v>1</v>
      </c>
      <c r="CM1568">
        <v>1</v>
      </c>
      <c r="CN1568">
        <v>1</v>
      </c>
      <c r="CO1568">
        <v>1</v>
      </c>
      <c r="CP1568">
        <v>1</v>
      </c>
      <c r="CQ1568">
        <v>1</v>
      </c>
      <c r="CR1568">
        <v>1</v>
      </c>
      <c r="CS1568">
        <v>1</v>
      </c>
      <c r="CT1568">
        <v>1</v>
      </c>
      <c r="CU1568">
        <v>1</v>
      </c>
      <c r="CV1568">
        <v>1</v>
      </c>
      <c r="CW1568">
        <v>1</v>
      </c>
      <c r="CX1568">
        <v>1</v>
      </c>
      <c r="CY1568">
        <v>1</v>
      </c>
      <c r="CZ1568">
        <v>1</v>
      </c>
      <c r="DA1568">
        <v>1</v>
      </c>
      <c r="DB1568">
        <v>1</v>
      </c>
      <c r="DC1568">
        <v>1</v>
      </c>
      <c r="DD1568">
        <v>1</v>
      </c>
      <c r="DE1568">
        <v>1</v>
      </c>
      <c r="DF1568">
        <v>1</v>
      </c>
      <c r="DG1568">
        <v>1</v>
      </c>
      <c r="DH1568">
        <v>1</v>
      </c>
      <c r="DI1568">
        <v>1</v>
      </c>
      <c r="DJ1568">
        <v>1</v>
      </c>
      <c r="DK1568">
        <v>1</v>
      </c>
      <c r="DL1568">
        <v>1</v>
      </c>
      <c r="DM1568">
        <v>1</v>
      </c>
      <c r="DN1568">
        <v>1</v>
      </c>
      <c r="DO1568">
        <v>1</v>
      </c>
      <c r="DP1568">
        <v>1</v>
      </c>
      <c r="DQ1568">
        <v>1</v>
      </c>
      <c r="DR1568">
        <v>1</v>
      </c>
      <c r="DS1568">
        <v>1</v>
      </c>
      <c r="DT1568">
        <v>1</v>
      </c>
      <c r="DU1568">
        <v>1</v>
      </c>
      <c r="DV1568">
        <v>1</v>
      </c>
      <c r="DW1568">
        <v>1</v>
      </c>
      <c r="DX1568">
        <v>1</v>
      </c>
      <c r="DY1568">
        <v>1</v>
      </c>
      <c r="DZ1568">
        <v>1</v>
      </c>
      <c r="EA1568">
        <v>1</v>
      </c>
      <c r="EB1568">
        <v>1</v>
      </c>
      <c r="EC1568">
        <v>1</v>
      </c>
      <c r="ED1568">
        <v>1</v>
      </c>
      <c r="EE1568">
        <v>1</v>
      </c>
      <c r="EF1568">
        <v>1</v>
      </c>
      <c r="EG1568">
        <v>1</v>
      </c>
      <c r="EH1568">
        <v>1</v>
      </c>
      <c r="EI1568">
        <v>1</v>
      </c>
      <c r="EJ1568">
        <v>1</v>
      </c>
      <c r="EK1568">
        <v>1</v>
      </c>
      <c r="EL1568">
        <v>1</v>
      </c>
      <c r="EM1568">
        <v>1</v>
      </c>
      <c r="EN1568">
        <v>1</v>
      </c>
      <c r="EO1568">
        <v>1</v>
      </c>
      <c r="EP1568">
        <v>1</v>
      </c>
      <c r="EQ1568">
        <v>1</v>
      </c>
      <c r="ER1568">
        <v>1</v>
      </c>
      <c r="ES1568">
        <v>1</v>
      </c>
      <c r="ET1568">
        <v>1</v>
      </c>
      <c r="EU1568">
        <v>1</v>
      </c>
      <c r="EV1568">
        <v>1</v>
      </c>
      <c r="EW1568">
        <v>1</v>
      </c>
      <c r="EX1568">
        <v>1</v>
      </c>
      <c r="EY1568">
        <v>1</v>
      </c>
      <c r="EZ1568">
        <v>1</v>
      </c>
      <c r="FA1568">
        <v>1</v>
      </c>
      <c r="FB1568">
        <v>1</v>
      </c>
      <c r="FC1568">
        <v>1</v>
      </c>
      <c r="FD1568">
        <v>1</v>
      </c>
      <c r="FE1568">
        <v>1</v>
      </c>
      <c r="FF1568">
        <v>1</v>
      </c>
      <c r="FG1568">
        <v>1</v>
      </c>
      <c r="FH1568">
        <v>1</v>
      </c>
      <c r="FI1568">
        <v>1</v>
      </c>
      <c r="FJ1568">
        <v>1</v>
      </c>
      <c r="FK1568">
        <v>1</v>
      </c>
      <c r="FL1568">
        <v>1</v>
      </c>
      <c r="FM1568">
        <v>1</v>
      </c>
      <c r="FN1568">
        <v>1</v>
      </c>
      <c r="FO1568">
        <v>1</v>
      </c>
      <c r="FP1568">
        <v>1</v>
      </c>
    </row>
    <row r="1569" spans="1:217" x14ac:dyDescent="0.25">
      <c r="A1569" t="s">
        <v>389</v>
      </c>
      <c r="B1569" t="s">
        <v>392</v>
      </c>
      <c r="C1569" s="3">
        <v>14.63</v>
      </c>
      <c r="D1569" s="3">
        <v>121.07</v>
      </c>
      <c r="E1569" t="s">
        <v>15</v>
      </c>
      <c r="F1569" t="s">
        <v>21</v>
      </c>
      <c r="G1569" t="s">
        <v>106</v>
      </c>
      <c r="I1569" t="s">
        <v>12</v>
      </c>
      <c r="J1569" t="s">
        <v>12</v>
      </c>
      <c r="K1569" t="s">
        <v>12</v>
      </c>
      <c r="L1569" t="s">
        <v>560</v>
      </c>
      <c r="M1569" t="s">
        <v>906</v>
      </c>
      <c r="O1569">
        <v>27.2</v>
      </c>
      <c r="P1569">
        <v>8.42</v>
      </c>
      <c r="CW1569">
        <v>1</v>
      </c>
      <c r="CX1569">
        <v>1</v>
      </c>
      <c r="CY1569">
        <v>1</v>
      </c>
      <c r="CZ1569">
        <v>1</v>
      </c>
      <c r="DA1569">
        <v>1</v>
      </c>
      <c r="DB1569">
        <v>1</v>
      </c>
      <c r="DC1569">
        <v>1</v>
      </c>
      <c r="DD1569">
        <v>1</v>
      </c>
      <c r="DE1569">
        <v>1</v>
      </c>
      <c r="DF1569">
        <v>1</v>
      </c>
      <c r="DG1569">
        <v>1</v>
      </c>
      <c r="DH1569">
        <v>1</v>
      </c>
      <c r="DI1569">
        <v>1</v>
      </c>
      <c r="DJ1569">
        <v>1</v>
      </c>
      <c r="DK1569">
        <v>1</v>
      </c>
      <c r="DL1569">
        <v>1</v>
      </c>
      <c r="DM1569">
        <v>1</v>
      </c>
      <c r="DN1569">
        <v>1</v>
      </c>
      <c r="DO1569">
        <v>1</v>
      </c>
      <c r="DP1569">
        <v>1</v>
      </c>
      <c r="DQ1569">
        <v>1</v>
      </c>
      <c r="DR1569">
        <v>1</v>
      </c>
      <c r="DS1569">
        <v>1</v>
      </c>
      <c r="DT1569">
        <v>1</v>
      </c>
      <c r="DU1569">
        <v>1</v>
      </c>
      <c r="DV1569">
        <v>1</v>
      </c>
      <c r="DW1569">
        <v>1</v>
      </c>
      <c r="DX1569">
        <v>1</v>
      </c>
      <c r="DY1569">
        <v>1</v>
      </c>
      <c r="DZ1569">
        <v>1</v>
      </c>
      <c r="EA1569">
        <v>1</v>
      </c>
      <c r="EB1569">
        <v>1</v>
      </c>
      <c r="EC1569">
        <v>1</v>
      </c>
      <c r="ED1569">
        <v>1</v>
      </c>
      <c r="EE1569">
        <v>1</v>
      </c>
      <c r="EF1569">
        <v>1</v>
      </c>
      <c r="EG1569">
        <v>1</v>
      </c>
      <c r="EH1569">
        <v>1</v>
      </c>
      <c r="EI1569">
        <v>1</v>
      </c>
      <c r="EJ1569">
        <v>1</v>
      </c>
      <c r="EK1569">
        <v>1</v>
      </c>
      <c r="EL1569">
        <v>1</v>
      </c>
      <c r="EM1569">
        <v>1</v>
      </c>
      <c r="EN1569">
        <v>1</v>
      </c>
      <c r="EO1569">
        <v>1</v>
      </c>
      <c r="EP1569">
        <v>1</v>
      </c>
      <c r="EQ1569">
        <v>1</v>
      </c>
      <c r="ER1569">
        <v>1</v>
      </c>
    </row>
    <row r="1570" spans="1:217" x14ac:dyDescent="0.25">
      <c r="A1570" t="s">
        <v>389</v>
      </c>
      <c r="B1570" t="s">
        <v>392</v>
      </c>
      <c r="C1570" s="3">
        <v>14.59</v>
      </c>
      <c r="D1570" s="3">
        <v>120.98</v>
      </c>
      <c r="E1570" t="s">
        <v>12</v>
      </c>
      <c r="F1570" t="s">
        <v>77</v>
      </c>
      <c r="G1570" t="s">
        <v>76</v>
      </c>
      <c r="H1570">
        <v>40</v>
      </c>
      <c r="I1570" t="s">
        <v>15</v>
      </c>
      <c r="J1570" t="s">
        <v>15</v>
      </c>
      <c r="K1570" t="s">
        <v>15</v>
      </c>
      <c r="L1570" t="s">
        <v>390</v>
      </c>
      <c r="M1570" t="s">
        <v>1002</v>
      </c>
      <c r="O1570">
        <v>43</v>
      </c>
      <c r="CO1570">
        <v>1</v>
      </c>
      <c r="CP1570">
        <v>1</v>
      </c>
      <c r="CQ1570">
        <v>1</v>
      </c>
      <c r="CR1570">
        <v>1</v>
      </c>
      <c r="CS1570">
        <v>1</v>
      </c>
      <c r="CT1570">
        <v>1</v>
      </c>
      <c r="DA1570">
        <v>1</v>
      </c>
      <c r="DB1570">
        <v>1</v>
      </c>
      <c r="DC1570">
        <v>1</v>
      </c>
      <c r="DD1570">
        <v>1</v>
      </c>
      <c r="DE1570">
        <v>1</v>
      </c>
      <c r="DF1570">
        <v>1</v>
      </c>
      <c r="DM1570">
        <v>1</v>
      </c>
      <c r="DN1570">
        <v>1</v>
      </c>
      <c r="DO1570">
        <v>1</v>
      </c>
      <c r="DP1570">
        <v>1</v>
      </c>
      <c r="DQ1570">
        <v>1</v>
      </c>
      <c r="DR1570">
        <v>1</v>
      </c>
      <c r="DY1570">
        <v>1</v>
      </c>
      <c r="DZ1570">
        <v>1</v>
      </c>
      <c r="EA1570">
        <v>1</v>
      </c>
      <c r="EB1570">
        <v>1</v>
      </c>
      <c r="EC1570">
        <v>1</v>
      </c>
      <c r="ED1570">
        <v>1</v>
      </c>
    </row>
    <row r="1571" spans="1:217" x14ac:dyDescent="0.25">
      <c r="A1571" t="s">
        <v>389</v>
      </c>
      <c r="B1571" t="s">
        <v>392</v>
      </c>
      <c r="C1571" s="3">
        <v>14.59</v>
      </c>
      <c r="D1571" s="3">
        <v>120.98</v>
      </c>
      <c r="E1571" t="s">
        <v>12</v>
      </c>
      <c r="F1571" t="s">
        <v>77</v>
      </c>
      <c r="G1571" t="s">
        <v>76</v>
      </c>
      <c r="H1571">
        <v>40</v>
      </c>
      <c r="I1571" t="s">
        <v>15</v>
      </c>
      <c r="J1571" t="s">
        <v>15</v>
      </c>
      <c r="K1571" t="s">
        <v>15</v>
      </c>
      <c r="L1571" t="s">
        <v>390</v>
      </c>
      <c r="M1571" t="s">
        <v>1002</v>
      </c>
      <c r="O1571">
        <v>44</v>
      </c>
      <c r="CK1571">
        <v>1</v>
      </c>
      <c r="CL1571">
        <v>1</v>
      </c>
      <c r="CM1571">
        <v>1</v>
      </c>
      <c r="CN1571">
        <v>1</v>
      </c>
      <c r="CU1571">
        <v>1</v>
      </c>
      <c r="CV1571">
        <v>1</v>
      </c>
      <c r="CW1571">
        <v>1</v>
      </c>
      <c r="CX1571">
        <v>1</v>
      </c>
      <c r="CY1571">
        <v>1</v>
      </c>
      <c r="CZ1571">
        <v>1</v>
      </c>
      <c r="DG1571">
        <v>1</v>
      </c>
      <c r="DH1571">
        <v>1</v>
      </c>
      <c r="DI1571">
        <v>1</v>
      </c>
      <c r="DJ1571">
        <v>1</v>
      </c>
      <c r="DK1571">
        <v>1</v>
      </c>
      <c r="DL1571">
        <v>1</v>
      </c>
      <c r="DS1571">
        <v>1</v>
      </c>
      <c r="DT1571">
        <v>1</v>
      </c>
      <c r="DU1571">
        <v>1</v>
      </c>
      <c r="DV1571">
        <v>1</v>
      </c>
      <c r="DW1571">
        <v>1</v>
      </c>
      <c r="DX1571">
        <v>1</v>
      </c>
      <c r="EE1571">
        <v>1</v>
      </c>
      <c r="EF1571">
        <v>1</v>
      </c>
    </row>
    <row r="1572" spans="1:217" x14ac:dyDescent="0.25">
      <c r="A1572" t="s">
        <v>640</v>
      </c>
      <c r="B1572" t="s">
        <v>630</v>
      </c>
      <c r="C1572" s="3">
        <f>25+7/60+2/3600</f>
        <v>25.117222222222221</v>
      </c>
      <c r="D1572" s="3">
        <f>51+18/60+53/3600</f>
        <v>51.314722222222223</v>
      </c>
      <c r="E1572" t="s">
        <v>12</v>
      </c>
      <c r="F1572" t="s">
        <v>9</v>
      </c>
      <c r="G1572" t="s">
        <v>106</v>
      </c>
      <c r="I1572" t="s">
        <v>12</v>
      </c>
      <c r="J1572" t="s">
        <v>12</v>
      </c>
      <c r="K1572" t="s">
        <v>15</v>
      </c>
      <c r="L1572" t="s">
        <v>625</v>
      </c>
      <c r="M1572" t="s">
        <v>788</v>
      </c>
      <c r="O1572">
        <v>165</v>
      </c>
      <c r="ET1572">
        <v>0.5</v>
      </c>
      <c r="EU1572">
        <v>1</v>
      </c>
      <c r="EV1572">
        <v>1</v>
      </c>
      <c r="EW1572">
        <v>1</v>
      </c>
      <c r="EX1572">
        <v>1</v>
      </c>
      <c r="EY1572">
        <v>1</v>
      </c>
      <c r="EZ1572">
        <v>1</v>
      </c>
      <c r="FA1572">
        <v>1</v>
      </c>
      <c r="FB1572">
        <v>1</v>
      </c>
      <c r="FC1572">
        <v>1</v>
      </c>
      <c r="FD1572">
        <v>1</v>
      </c>
      <c r="FE1572">
        <v>1</v>
      </c>
      <c r="FF1572">
        <v>0.5</v>
      </c>
    </row>
    <row r="1573" spans="1:217" x14ac:dyDescent="0.25">
      <c r="A1573" t="s">
        <v>695</v>
      </c>
      <c r="B1573" t="s">
        <v>696</v>
      </c>
      <c r="C1573" s="3">
        <v>47.15</v>
      </c>
      <c r="D1573" s="3">
        <v>27.59</v>
      </c>
      <c r="E1573" t="s">
        <v>12</v>
      </c>
      <c r="F1573" t="s">
        <v>20</v>
      </c>
      <c r="G1573" t="s">
        <v>697</v>
      </c>
      <c r="H1573">
        <v>46</v>
      </c>
      <c r="I1573" t="s">
        <v>12</v>
      </c>
      <c r="J1573" t="s">
        <v>15</v>
      </c>
      <c r="K1573" t="s">
        <v>12</v>
      </c>
      <c r="L1573" t="s">
        <v>746</v>
      </c>
      <c r="M1573" t="s">
        <v>800</v>
      </c>
      <c r="O1573">
        <v>10.5</v>
      </c>
      <c r="P1573">
        <v>11.2</v>
      </c>
      <c r="FE1573">
        <v>1</v>
      </c>
      <c r="FF1573">
        <v>1</v>
      </c>
      <c r="FG1573">
        <v>1</v>
      </c>
      <c r="FH1573">
        <v>1</v>
      </c>
      <c r="FI1573">
        <v>1</v>
      </c>
      <c r="FJ1573">
        <v>1</v>
      </c>
      <c r="FK1573">
        <v>1</v>
      </c>
      <c r="FL1573">
        <v>1</v>
      </c>
      <c r="FM1573">
        <v>1</v>
      </c>
      <c r="FN1573">
        <v>1</v>
      </c>
      <c r="FO1573">
        <v>1</v>
      </c>
      <c r="FP1573">
        <v>1</v>
      </c>
      <c r="FQ1573">
        <v>1</v>
      </c>
      <c r="FR1573">
        <v>1</v>
      </c>
      <c r="FS1573">
        <v>1</v>
      </c>
    </row>
    <row r="1574" spans="1:217" x14ac:dyDescent="0.25">
      <c r="A1574" t="s">
        <v>526</v>
      </c>
      <c r="B1574" t="s">
        <v>283</v>
      </c>
      <c r="C1574" s="3">
        <v>21.53</v>
      </c>
      <c r="D1574" s="3">
        <v>39.17</v>
      </c>
      <c r="E1574" t="s">
        <v>12</v>
      </c>
      <c r="F1574" t="s">
        <v>21</v>
      </c>
      <c r="G1574" t="s">
        <v>106</v>
      </c>
      <c r="I1574" t="s">
        <v>12</v>
      </c>
      <c r="J1574" t="s">
        <v>12</v>
      </c>
      <c r="K1574" t="s">
        <v>15</v>
      </c>
      <c r="L1574" t="s">
        <v>525</v>
      </c>
      <c r="M1574" t="s">
        <v>930</v>
      </c>
      <c r="O1574">
        <v>23.8</v>
      </c>
      <c r="P1574">
        <v>11.7</v>
      </c>
      <c r="HF1574">
        <v>0.5</v>
      </c>
      <c r="HG1574">
        <v>1</v>
      </c>
      <c r="HH1574">
        <v>1</v>
      </c>
      <c r="HI1574">
        <v>1</v>
      </c>
    </row>
    <row r="1575" spans="1:217" x14ac:dyDescent="0.25">
      <c r="A1575" t="s">
        <v>526</v>
      </c>
      <c r="B1575" t="s">
        <v>283</v>
      </c>
      <c r="C1575" s="3">
        <v>21.53</v>
      </c>
      <c r="D1575" s="3">
        <v>39.17</v>
      </c>
      <c r="E1575" t="s">
        <v>12</v>
      </c>
      <c r="F1575" t="s">
        <v>21</v>
      </c>
      <c r="G1575" t="s">
        <v>106</v>
      </c>
      <c r="I1575" t="s">
        <v>12</v>
      </c>
      <c r="J1575" t="s">
        <v>12</v>
      </c>
      <c r="K1575" t="s">
        <v>15</v>
      </c>
      <c r="L1575" t="s">
        <v>525</v>
      </c>
      <c r="M1575" t="s">
        <v>930</v>
      </c>
      <c r="O1575">
        <v>29.1</v>
      </c>
      <c r="P1575">
        <v>14.1</v>
      </c>
      <c r="HF1575">
        <v>0.5</v>
      </c>
    </row>
    <row r="1576" spans="1:217" x14ac:dyDescent="0.25">
      <c r="A1576" t="s">
        <v>526</v>
      </c>
      <c r="B1576" t="s">
        <v>283</v>
      </c>
      <c r="C1576" s="3">
        <v>21.53</v>
      </c>
      <c r="D1576" s="3">
        <v>39.17</v>
      </c>
      <c r="E1576" t="s">
        <v>12</v>
      </c>
      <c r="F1576" t="s">
        <v>21</v>
      </c>
      <c r="G1576" t="s">
        <v>106</v>
      </c>
      <c r="I1576" t="s">
        <v>12</v>
      </c>
      <c r="J1576" t="s">
        <v>12</v>
      </c>
      <c r="K1576" t="s">
        <v>15</v>
      </c>
      <c r="L1576" t="s">
        <v>525</v>
      </c>
      <c r="M1576" t="s">
        <v>930</v>
      </c>
      <c r="O1576">
        <v>31.1</v>
      </c>
      <c r="P1576">
        <v>5.8</v>
      </c>
      <c r="HG1576">
        <v>0.5</v>
      </c>
    </row>
    <row r="1577" spans="1:217" x14ac:dyDescent="0.25">
      <c r="A1577" t="s">
        <v>526</v>
      </c>
      <c r="B1577" t="s">
        <v>283</v>
      </c>
      <c r="C1577" s="3">
        <v>21.53</v>
      </c>
      <c r="D1577" s="3">
        <v>39.17</v>
      </c>
      <c r="E1577" t="s">
        <v>12</v>
      </c>
      <c r="F1577" t="s">
        <v>21</v>
      </c>
      <c r="G1577" t="s">
        <v>106</v>
      </c>
      <c r="I1577" t="s">
        <v>12</v>
      </c>
      <c r="J1577" t="s">
        <v>12</v>
      </c>
      <c r="K1577" t="s">
        <v>15</v>
      </c>
      <c r="L1577" t="s">
        <v>525</v>
      </c>
      <c r="M1577" t="s">
        <v>930</v>
      </c>
      <c r="O1577">
        <v>24.5</v>
      </c>
      <c r="P1577">
        <v>11.8</v>
      </c>
      <c r="HG1577">
        <v>0.5</v>
      </c>
    </row>
    <row r="1578" spans="1:217" x14ac:dyDescent="0.25">
      <c r="A1578" t="s">
        <v>526</v>
      </c>
      <c r="B1578" t="s">
        <v>283</v>
      </c>
      <c r="C1578" s="3">
        <v>21.53</v>
      </c>
      <c r="D1578" s="3">
        <v>39.17</v>
      </c>
      <c r="E1578" t="s">
        <v>12</v>
      </c>
      <c r="F1578" t="s">
        <v>77</v>
      </c>
      <c r="G1578" t="s">
        <v>106</v>
      </c>
      <c r="I1578" t="s">
        <v>12</v>
      </c>
      <c r="J1578" t="s">
        <v>12</v>
      </c>
      <c r="K1578" t="s">
        <v>15</v>
      </c>
      <c r="L1578" t="s">
        <v>525</v>
      </c>
      <c r="M1578" t="s">
        <v>930</v>
      </c>
      <c r="O1578">
        <v>15.8</v>
      </c>
      <c r="P1578">
        <v>3.1</v>
      </c>
      <c r="HI1578">
        <v>0.5</v>
      </c>
    </row>
    <row r="1579" spans="1:217" x14ac:dyDescent="0.25">
      <c r="A1579" t="s">
        <v>526</v>
      </c>
      <c r="B1579" t="s">
        <v>283</v>
      </c>
      <c r="C1579" s="3">
        <v>21.53</v>
      </c>
      <c r="D1579" s="3">
        <v>39.17</v>
      </c>
      <c r="E1579" t="s">
        <v>12</v>
      </c>
      <c r="F1579" t="s">
        <v>77</v>
      </c>
      <c r="G1579" t="s">
        <v>106</v>
      </c>
      <c r="I1579" t="s">
        <v>12</v>
      </c>
      <c r="J1579" t="s">
        <v>12</v>
      </c>
      <c r="K1579" t="s">
        <v>15</v>
      </c>
      <c r="L1579" t="s">
        <v>525</v>
      </c>
      <c r="M1579" t="s">
        <v>930</v>
      </c>
      <c r="O1579">
        <v>18</v>
      </c>
      <c r="P1579">
        <v>4</v>
      </c>
      <c r="HH1579">
        <v>0.5</v>
      </c>
    </row>
    <row r="1580" spans="1:217" x14ac:dyDescent="0.25">
      <c r="A1580" t="s">
        <v>526</v>
      </c>
      <c r="B1580" t="s">
        <v>283</v>
      </c>
      <c r="C1580" s="3">
        <v>21.53</v>
      </c>
      <c r="D1580" s="3">
        <v>39.17</v>
      </c>
      <c r="E1580" t="s">
        <v>12</v>
      </c>
      <c r="F1580" t="s">
        <v>77</v>
      </c>
      <c r="G1580" t="s">
        <v>106</v>
      </c>
      <c r="I1580" t="s">
        <v>12</v>
      </c>
      <c r="J1580" t="s">
        <v>12</v>
      </c>
      <c r="K1580" t="s">
        <v>15</v>
      </c>
      <c r="L1580" t="s">
        <v>525</v>
      </c>
      <c r="M1580" t="s">
        <v>930</v>
      </c>
      <c r="O1580">
        <v>73.2</v>
      </c>
      <c r="P1580">
        <v>65.099999999999994</v>
      </c>
      <c r="HH1580">
        <v>0.5</v>
      </c>
    </row>
    <row r="1581" spans="1:217" x14ac:dyDescent="0.25">
      <c r="A1581" t="s">
        <v>329</v>
      </c>
      <c r="B1581" t="s">
        <v>283</v>
      </c>
      <c r="C1581" s="3">
        <v>24.7</v>
      </c>
      <c r="D1581" s="3">
        <v>46.7</v>
      </c>
      <c r="E1581" t="s">
        <v>34</v>
      </c>
      <c r="F1581" t="s">
        <v>8</v>
      </c>
      <c r="G1581" t="s">
        <v>97</v>
      </c>
      <c r="I1581" t="s">
        <v>12</v>
      </c>
      <c r="J1581" t="s">
        <v>12</v>
      </c>
      <c r="K1581" t="s">
        <v>15</v>
      </c>
      <c r="L1581" t="s">
        <v>330</v>
      </c>
      <c r="M1581" t="s">
        <v>1032</v>
      </c>
      <c r="O1581">
        <v>104.8</v>
      </c>
      <c r="P1581">
        <v>61.4</v>
      </c>
      <c r="EX1581">
        <v>1</v>
      </c>
    </row>
    <row r="1582" spans="1:217" x14ac:dyDescent="0.25">
      <c r="A1582" t="s">
        <v>329</v>
      </c>
      <c r="B1582" t="s">
        <v>283</v>
      </c>
      <c r="C1582" s="3">
        <v>24.7</v>
      </c>
      <c r="D1582" s="3">
        <v>46.7</v>
      </c>
      <c r="E1582" t="s">
        <v>34</v>
      </c>
      <c r="F1582" t="s">
        <v>8</v>
      </c>
      <c r="G1582" t="s">
        <v>97</v>
      </c>
      <c r="I1582" t="s">
        <v>12</v>
      </c>
      <c r="J1582" t="s">
        <v>12</v>
      </c>
      <c r="K1582" t="s">
        <v>15</v>
      </c>
      <c r="L1582" t="s">
        <v>330</v>
      </c>
      <c r="M1582" t="s">
        <v>1032</v>
      </c>
      <c r="O1582">
        <v>76.3</v>
      </c>
      <c r="P1582">
        <v>66.099999999999994</v>
      </c>
      <c r="FC1582">
        <v>1</v>
      </c>
    </row>
    <row r="1583" spans="1:217" x14ac:dyDescent="0.25">
      <c r="A1583" t="s">
        <v>329</v>
      </c>
      <c r="B1583" t="s">
        <v>283</v>
      </c>
      <c r="C1583" s="3">
        <v>24.7</v>
      </c>
      <c r="D1583" s="3">
        <v>46.7</v>
      </c>
      <c r="E1583" t="s">
        <v>34</v>
      </c>
      <c r="F1583" t="s">
        <v>8</v>
      </c>
      <c r="G1583" t="s">
        <v>97</v>
      </c>
      <c r="I1583" t="s">
        <v>12</v>
      </c>
      <c r="J1583" t="s">
        <v>12</v>
      </c>
      <c r="K1583" t="s">
        <v>15</v>
      </c>
      <c r="L1583" t="s">
        <v>330</v>
      </c>
      <c r="M1583" t="s">
        <v>1032</v>
      </c>
      <c r="O1583">
        <v>124.5</v>
      </c>
      <c r="P1583">
        <v>62.8</v>
      </c>
      <c r="FF1583">
        <v>1</v>
      </c>
    </row>
    <row r="1584" spans="1:217" x14ac:dyDescent="0.25">
      <c r="A1584" t="s">
        <v>329</v>
      </c>
      <c r="B1584" t="s">
        <v>283</v>
      </c>
      <c r="C1584" s="3">
        <v>24.7</v>
      </c>
      <c r="D1584" s="3">
        <v>46.7</v>
      </c>
      <c r="E1584" t="s">
        <v>34</v>
      </c>
      <c r="F1584" t="s">
        <v>8</v>
      </c>
      <c r="G1584" t="s">
        <v>97</v>
      </c>
      <c r="I1584" t="s">
        <v>12</v>
      </c>
      <c r="J1584" t="s">
        <v>12</v>
      </c>
      <c r="K1584" t="s">
        <v>15</v>
      </c>
      <c r="L1584" t="s">
        <v>330</v>
      </c>
      <c r="M1584" t="s">
        <v>1032</v>
      </c>
      <c r="O1584">
        <v>189.4</v>
      </c>
      <c r="P1584">
        <v>81.599999999999994</v>
      </c>
      <c r="FI1584">
        <v>1</v>
      </c>
    </row>
    <row r="1585" spans="1:204" x14ac:dyDescent="0.25">
      <c r="A1585" t="s">
        <v>282</v>
      </c>
      <c r="B1585" t="s">
        <v>283</v>
      </c>
      <c r="C1585" s="3">
        <v>21.2</v>
      </c>
      <c r="D1585" s="3">
        <v>40.409999999999997</v>
      </c>
      <c r="E1585" t="s">
        <v>12</v>
      </c>
      <c r="F1585" t="s">
        <v>8</v>
      </c>
      <c r="G1585" t="s">
        <v>106</v>
      </c>
      <c r="H1585">
        <v>50</v>
      </c>
      <c r="I1585" t="s">
        <v>15</v>
      </c>
      <c r="J1585" t="s">
        <v>12</v>
      </c>
      <c r="K1585" t="s">
        <v>15</v>
      </c>
      <c r="L1585" t="s">
        <v>284</v>
      </c>
      <c r="M1585" t="s">
        <v>1051</v>
      </c>
      <c r="N1585" t="s">
        <v>285</v>
      </c>
      <c r="O1585">
        <f>AVERAGE(47,46)</f>
        <v>46.5</v>
      </c>
      <c r="P1585">
        <f>AVERAGE(15,31)</f>
        <v>23</v>
      </c>
      <c r="GT1585">
        <v>1</v>
      </c>
      <c r="GU1585">
        <v>1</v>
      </c>
      <c r="GV1585">
        <v>1</v>
      </c>
    </row>
    <row r="1586" spans="1:204" x14ac:dyDescent="0.25">
      <c r="A1586" t="s">
        <v>650</v>
      </c>
      <c r="B1586" t="s">
        <v>651</v>
      </c>
      <c r="C1586" s="3">
        <f t="shared" ref="C1586:C1597" si="38">14+40/60+20/3600</f>
        <v>14.672222222222222</v>
      </c>
      <c r="D1586" s="3">
        <f t="shared" ref="D1586:D1597" si="39">-(17+25/60+22/3600)</f>
        <v>-17.422777777777778</v>
      </c>
      <c r="E1586" t="s">
        <v>12</v>
      </c>
      <c r="F1586" t="s">
        <v>34</v>
      </c>
      <c r="G1586" t="s">
        <v>652</v>
      </c>
      <c r="I1586" t="s">
        <v>15</v>
      </c>
      <c r="J1586" t="s">
        <v>12</v>
      </c>
      <c r="K1586" t="s">
        <v>12</v>
      </c>
      <c r="L1586" t="s">
        <v>653</v>
      </c>
      <c r="M1586" t="s">
        <v>864</v>
      </c>
      <c r="O1586">
        <v>31</v>
      </c>
      <c r="FV1586">
        <v>1</v>
      </c>
    </row>
    <row r="1587" spans="1:204" x14ac:dyDescent="0.25">
      <c r="A1587" t="s">
        <v>650</v>
      </c>
      <c r="B1587" t="s">
        <v>651</v>
      </c>
      <c r="C1587" s="3">
        <f t="shared" si="38"/>
        <v>14.672222222222222</v>
      </c>
      <c r="D1587" s="3">
        <f t="shared" si="39"/>
        <v>-17.422777777777778</v>
      </c>
      <c r="E1587" t="s">
        <v>12</v>
      </c>
      <c r="F1587" t="s">
        <v>34</v>
      </c>
      <c r="G1587" t="s">
        <v>652</v>
      </c>
      <c r="I1587" t="s">
        <v>15</v>
      </c>
      <c r="J1587" t="s">
        <v>12</v>
      </c>
      <c r="K1587" t="s">
        <v>12</v>
      </c>
      <c r="L1587" t="s">
        <v>653</v>
      </c>
      <c r="M1587" t="s">
        <v>864</v>
      </c>
      <c r="O1587">
        <v>34</v>
      </c>
      <c r="FW1587">
        <v>1</v>
      </c>
    </row>
    <row r="1588" spans="1:204" x14ac:dyDescent="0.25">
      <c r="A1588" t="s">
        <v>650</v>
      </c>
      <c r="B1588" t="s">
        <v>651</v>
      </c>
      <c r="C1588" s="3">
        <f t="shared" si="38"/>
        <v>14.672222222222222</v>
      </c>
      <c r="D1588" s="3">
        <f t="shared" si="39"/>
        <v>-17.422777777777778</v>
      </c>
      <c r="E1588" t="s">
        <v>12</v>
      </c>
      <c r="F1588" t="s">
        <v>34</v>
      </c>
      <c r="G1588" t="s">
        <v>652</v>
      </c>
      <c r="I1588" t="s">
        <v>15</v>
      </c>
      <c r="J1588" t="s">
        <v>12</v>
      </c>
      <c r="K1588" t="s">
        <v>12</v>
      </c>
      <c r="L1588" t="s">
        <v>653</v>
      </c>
      <c r="M1588" t="s">
        <v>864</v>
      </c>
      <c r="O1588">
        <v>33</v>
      </c>
      <c r="FX1588">
        <v>1</v>
      </c>
    </row>
    <row r="1589" spans="1:204" x14ac:dyDescent="0.25">
      <c r="A1589" t="s">
        <v>650</v>
      </c>
      <c r="B1589" t="s">
        <v>651</v>
      </c>
      <c r="C1589" s="3">
        <f t="shared" si="38"/>
        <v>14.672222222222222</v>
      </c>
      <c r="D1589" s="3">
        <f t="shared" si="39"/>
        <v>-17.422777777777778</v>
      </c>
      <c r="E1589" t="s">
        <v>12</v>
      </c>
      <c r="F1589" t="s">
        <v>34</v>
      </c>
      <c r="G1589" t="s">
        <v>652</v>
      </c>
      <c r="I1589" t="s">
        <v>15</v>
      </c>
      <c r="J1589" t="s">
        <v>12</v>
      </c>
      <c r="K1589" t="s">
        <v>12</v>
      </c>
      <c r="L1589" t="s">
        <v>653</v>
      </c>
      <c r="M1589" t="s">
        <v>864</v>
      </c>
      <c r="O1589">
        <v>42</v>
      </c>
      <c r="FY1589">
        <v>1</v>
      </c>
    </row>
    <row r="1590" spans="1:204" x14ac:dyDescent="0.25">
      <c r="A1590" t="s">
        <v>650</v>
      </c>
      <c r="B1590" t="s">
        <v>651</v>
      </c>
      <c r="C1590" s="3">
        <f t="shared" si="38"/>
        <v>14.672222222222222</v>
      </c>
      <c r="D1590" s="3">
        <f t="shared" si="39"/>
        <v>-17.422777777777778</v>
      </c>
      <c r="E1590" t="s">
        <v>12</v>
      </c>
      <c r="F1590" t="s">
        <v>34</v>
      </c>
      <c r="G1590" t="s">
        <v>652</v>
      </c>
      <c r="I1590" t="s">
        <v>15</v>
      </c>
      <c r="J1590" t="s">
        <v>12</v>
      </c>
      <c r="K1590" t="s">
        <v>12</v>
      </c>
      <c r="L1590" t="s">
        <v>653</v>
      </c>
      <c r="M1590" t="s">
        <v>864</v>
      </c>
      <c r="O1590">
        <v>46</v>
      </c>
      <c r="FZ1590">
        <v>1</v>
      </c>
    </row>
    <row r="1591" spans="1:204" x14ac:dyDescent="0.25">
      <c r="A1591" t="s">
        <v>650</v>
      </c>
      <c r="B1591" t="s">
        <v>651</v>
      </c>
      <c r="C1591" s="3">
        <f t="shared" si="38"/>
        <v>14.672222222222222</v>
      </c>
      <c r="D1591" s="3">
        <f t="shared" si="39"/>
        <v>-17.422777777777778</v>
      </c>
      <c r="E1591" t="s">
        <v>12</v>
      </c>
      <c r="F1591" t="s">
        <v>34</v>
      </c>
      <c r="G1591" t="s">
        <v>652</v>
      </c>
      <c r="I1591" t="s">
        <v>15</v>
      </c>
      <c r="J1591" t="s">
        <v>12</v>
      </c>
      <c r="K1591" t="s">
        <v>12</v>
      </c>
      <c r="L1591" t="s">
        <v>653</v>
      </c>
      <c r="M1591" t="s">
        <v>864</v>
      </c>
      <c r="O1591">
        <v>64</v>
      </c>
      <c r="GA1591">
        <v>1</v>
      </c>
    </row>
    <row r="1592" spans="1:204" x14ac:dyDescent="0.25">
      <c r="A1592" t="s">
        <v>650</v>
      </c>
      <c r="B1592" t="s">
        <v>651</v>
      </c>
      <c r="C1592" s="3">
        <f t="shared" si="38"/>
        <v>14.672222222222222</v>
      </c>
      <c r="D1592" s="3">
        <f t="shared" si="39"/>
        <v>-17.422777777777778</v>
      </c>
      <c r="E1592" t="s">
        <v>12</v>
      </c>
      <c r="F1592" t="s">
        <v>34</v>
      </c>
      <c r="G1592" t="s">
        <v>652</v>
      </c>
      <c r="I1592" t="s">
        <v>15</v>
      </c>
      <c r="J1592" t="s">
        <v>12</v>
      </c>
      <c r="K1592" t="s">
        <v>12</v>
      </c>
      <c r="L1592" t="s">
        <v>653</v>
      </c>
      <c r="M1592" t="s">
        <v>864</v>
      </c>
      <c r="O1592">
        <v>59</v>
      </c>
      <c r="GB1592">
        <v>1</v>
      </c>
    </row>
    <row r="1593" spans="1:204" x14ac:dyDescent="0.25">
      <c r="A1593" t="s">
        <v>650</v>
      </c>
      <c r="B1593" t="s">
        <v>651</v>
      </c>
      <c r="C1593" s="3">
        <f t="shared" si="38"/>
        <v>14.672222222222222</v>
      </c>
      <c r="D1593" s="3">
        <f t="shared" si="39"/>
        <v>-17.422777777777778</v>
      </c>
      <c r="E1593" t="s">
        <v>12</v>
      </c>
      <c r="F1593" t="s">
        <v>34</v>
      </c>
      <c r="G1593" t="s">
        <v>652</v>
      </c>
      <c r="I1593" t="s">
        <v>15</v>
      </c>
      <c r="J1593" t="s">
        <v>12</v>
      </c>
      <c r="K1593" t="s">
        <v>12</v>
      </c>
      <c r="L1593" t="s">
        <v>653</v>
      </c>
      <c r="M1593" t="s">
        <v>864</v>
      </c>
      <c r="O1593">
        <v>55</v>
      </c>
      <c r="GC1593">
        <v>1</v>
      </c>
    </row>
    <row r="1594" spans="1:204" x14ac:dyDescent="0.25">
      <c r="A1594" t="s">
        <v>650</v>
      </c>
      <c r="B1594" t="s">
        <v>651</v>
      </c>
      <c r="C1594" s="3">
        <f t="shared" si="38"/>
        <v>14.672222222222222</v>
      </c>
      <c r="D1594" s="3">
        <f t="shared" si="39"/>
        <v>-17.422777777777778</v>
      </c>
      <c r="E1594" t="s">
        <v>12</v>
      </c>
      <c r="F1594" t="s">
        <v>34</v>
      </c>
      <c r="G1594" t="s">
        <v>652</v>
      </c>
      <c r="I1594" t="s">
        <v>15</v>
      </c>
      <c r="J1594" t="s">
        <v>12</v>
      </c>
      <c r="K1594" t="s">
        <v>12</v>
      </c>
      <c r="L1594" t="s">
        <v>653</v>
      </c>
      <c r="M1594" t="s">
        <v>864</v>
      </c>
      <c r="O1594">
        <v>48</v>
      </c>
      <c r="GD1594">
        <v>1</v>
      </c>
    </row>
    <row r="1595" spans="1:204" x14ac:dyDescent="0.25">
      <c r="A1595" t="s">
        <v>650</v>
      </c>
      <c r="B1595" t="s">
        <v>651</v>
      </c>
      <c r="C1595" s="3">
        <f t="shared" si="38"/>
        <v>14.672222222222222</v>
      </c>
      <c r="D1595" s="3">
        <f t="shared" si="39"/>
        <v>-17.422777777777778</v>
      </c>
      <c r="E1595" t="s">
        <v>12</v>
      </c>
      <c r="F1595" t="s">
        <v>34</v>
      </c>
      <c r="G1595" t="s">
        <v>652</v>
      </c>
      <c r="I1595" t="s">
        <v>15</v>
      </c>
      <c r="J1595" t="s">
        <v>12</v>
      </c>
      <c r="K1595" t="s">
        <v>12</v>
      </c>
      <c r="L1595" t="s">
        <v>653</v>
      </c>
      <c r="M1595" t="s">
        <v>864</v>
      </c>
      <c r="O1595">
        <v>46</v>
      </c>
      <c r="GE1595">
        <v>1</v>
      </c>
    </row>
    <row r="1596" spans="1:204" x14ac:dyDescent="0.25">
      <c r="A1596" t="s">
        <v>650</v>
      </c>
      <c r="B1596" t="s">
        <v>651</v>
      </c>
      <c r="C1596" s="3">
        <f t="shared" si="38"/>
        <v>14.672222222222222</v>
      </c>
      <c r="D1596" s="3">
        <f t="shared" si="39"/>
        <v>-17.422777777777778</v>
      </c>
      <c r="E1596" t="s">
        <v>12</v>
      </c>
      <c r="F1596" t="s">
        <v>34</v>
      </c>
      <c r="G1596" t="s">
        <v>652</v>
      </c>
      <c r="I1596" t="s">
        <v>15</v>
      </c>
      <c r="J1596" t="s">
        <v>12</v>
      </c>
      <c r="K1596" t="s">
        <v>12</v>
      </c>
      <c r="L1596" t="s">
        <v>653</v>
      </c>
      <c r="M1596" t="s">
        <v>864</v>
      </c>
      <c r="O1596">
        <v>47</v>
      </c>
      <c r="GF1596">
        <v>1</v>
      </c>
    </row>
    <row r="1597" spans="1:204" x14ac:dyDescent="0.25">
      <c r="A1597" t="s">
        <v>650</v>
      </c>
      <c r="B1597" t="s">
        <v>651</v>
      </c>
      <c r="C1597" s="3">
        <f t="shared" si="38"/>
        <v>14.672222222222222</v>
      </c>
      <c r="D1597" s="3">
        <f t="shared" si="39"/>
        <v>-17.422777777777778</v>
      </c>
      <c r="E1597" t="s">
        <v>12</v>
      </c>
      <c r="F1597" t="s">
        <v>34</v>
      </c>
      <c r="G1597" t="s">
        <v>652</v>
      </c>
      <c r="I1597" t="s">
        <v>15</v>
      </c>
      <c r="J1597" t="s">
        <v>12</v>
      </c>
      <c r="K1597" t="s">
        <v>12</v>
      </c>
      <c r="L1597" t="s">
        <v>653</v>
      </c>
      <c r="M1597" t="s">
        <v>864</v>
      </c>
      <c r="O1597">
        <v>25</v>
      </c>
      <c r="GG1597">
        <v>1</v>
      </c>
    </row>
    <row r="1598" spans="1:204" x14ac:dyDescent="0.25">
      <c r="A1598" t="s">
        <v>353</v>
      </c>
      <c r="B1598" t="s">
        <v>354</v>
      </c>
      <c r="C1598" s="3">
        <v>44.77</v>
      </c>
      <c r="D1598" s="3">
        <v>20.420000000000002</v>
      </c>
      <c r="E1598" t="s">
        <v>12</v>
      </c>
      <c r="F1598" t="s">
        <v>77</v>
      </c>
      <c r="G1598" t="s">
        <v>106</v>
      </c>
      <c r="I1598" t="s">
        <v>12</v>
      </c>
      <c r="J1598" t="s">
        <v>12</v>
      </c>
      <c r="K1598" t="s">
        <v>15</v>
      </c>
      <c r="L1598" t="s">
        <v>355</v>
      </c>
      <c r="M1598" t="s">
        <v>1024</v>
      </c>
      <c r="O1598">
        <v>51.9</v>
      </c>
      <c r="P1598">
        <v>52.5</v>
      </c>
      <c r="DN1598">
        <v>1</v>
      </c>
      <c r="DO1598">
        <v>1</v>
      </c>
      <c r="DP1598">
        <v>1</v>
      </c>
      <c r="DQ1598">
        <v>1</v>
      </c>
      <c r="DR1598">
        <v>1</v>
      </c>
      <c r="DS1598">
        <v>1</v>
      </c>
      <c r="DT1598">
        <v>1</v>
      </c>
      <c r="DU1598">
        <v>1</v>
      </c>
      <c r="DV1598">
        <v>1</v>
      </c>
      <c r="DW1598">
        <v>1</v>
      </c>
      <c r="DX1598">
        <v>1</v>
      </c>
      <c r="DY1598">
        <v>1</v>
      </c>
      <c r="DZ1598">
        <v>1</v>
      </c>
      <c r="EA1598">
        <v>1</v>
      </c>
      <c r="EB1598">
        <v>1</v>
      </c>
      <c r="EC1598">
        <v>1</v>
      </c>
      <c r="ED1598">
        <v>1</v>
      </c>
      <c r="EE1598">
        <v>1</v>
      </c>
      <c r="EF1598">
        <v>1</v>
      </c>
      <c r="EG1598">
        <v>1</v>
      </c>
      <c r="EH1598">
        <v>1</v>
      </c>
      <c r="EI1598">
        <v>1</v>
      </c>
      <c r="EJ1598">
        <v>1</v>
      </c>
      <c r="EK1598">
        <v>1</v>
      </c>
      <c r="EL1598">
        <v>1</v>
      </c>
      <c r="EM1598">
        <v>1</v>
      </c>
    </row>
    <row r="1599" spans="1:204" x14ac:dyDescent="0.25">
      <c r="A1599" t="s">
        <v>333</v>
      </c>
      <c r="B1599" t="s">
        <v>333</v>
      </c>
      <c r="C1599" s="3">
        <v>1.1299999999999999</v>
      </c>
      <c r="D1599" s="3">
        <v>104</v>
      </c>
      <c r="E1599" t="s">
        <v>34</v>
      </c>
      <c r="F1599" t="s">
        <v>77</v>
      </c>
      <c r="G1599" t="s">
        <v>30</v>
      </c>
      <c r="I1599" t="s">
        <v>12</v>
      </c>
      <c r="J1599" t="s">
        <v>15</v>
      </c>
      <c r="K1599" t="s">
        <v>12</v>
      </c>
      <c r="L1599" t="s">
        <v>785</v>
      </c>
      <c r="M1599" t="s">
        <v>805</v>
      </c>
      <c r="O1599">
        <v>27.2</v>
      </c>
      <c r="CA1599">
        <v>1</v>
      </c>
      <c r="CB1599">
        <v>1</v>
      </c>
      <c r="CC1599">
        <v>1</v>
      </c>
    </row>
    <row r="1600" spans="1:204" x14ac:dyDescent="0.25">
      <c r="A1600" t="s">
        <v>494</v>
      </c>
      <c r="B1600" t="s">
        <v>495</v>
      </c>
      <c r="C1600" s="3">
        <v>-25.61</v>
      </c>
      <c r="D1600" s="3">
        <v>25.8</v>
      </c>
      <c r="E1600" t="s">
        <v>12</v>
      </c>
      <c r="F1600" t="s">
        <v>20</v>
      </c>
      <c r="G1600" t="s">
        <v>60</v>
      </c>
      <c r="I1600" t="s">
        <v>12</v>
      </c>
      <c r="J1600" t="s">
        <v>12</v>
      </c>
      <c r="K1600" t="s">
        <v>12</v>
      </c>
      <c r="L1600" t="s">
        <v>496</v>
      </c>
      <c r="M1600" t="s">
        <v>950</v>
      </c>
      <c r="O1600">
        <v>15</v>
      </c>
      <c r="EY1600">
        <v>1</v>
      </c>
    </row>
    <row r="1601" spans="1:184" x14ac:dyDescent="0.25">
      <c r="A1601" t="s">
        <v>494</v>
      </c>
      <c r="B1601" t="s">
        <v>495</v>
      </c>
      <c r="C1601" s="3">
        <v>-25.61</v>
      </c>
      <c r="D1601" s="3">
        <v>25.8</v>
      </c>
      <c r="E1601" t="s">
        <v>12</v>
      </c>
      <c r="F1601" t="s">
        <v>20</v>
      </c>
      <c r="G1601" t="s">
        <v>60</v>
      </c>
      <c r="I1601" t="s">
        <v>12</v>
      </c>
      <c r="J1601" t="s">
        <v>12</v>
      </c>
      <c r="K1601" t="s">
        <v>12</v>
      </c>
      <c r="L1601" t="s">
        <v>496</v>
      </c>
      <c r="M1601" t="s">
        <v>950</v>
      </c>
      <c r="O1601">
        <v>15</v>
      </c>
      <c r="FA1601">
        <v>1</v>
      </c>
    </row>
    <row r="1602" spans="1:184" x14ac:dyDescent="0.25">
      <c r="A1602" t="s">
        <v>494</v>
      </c>
      <c r="B1602" t="s">
        <v>495</v>
      </c>
      <c r="C1602" s="3">
        <v>-25.61</v>
      </c>
      <c r="D1602" s="3">
        <v>25.8</v>
      </c>
      <c r="E1602" t="s">
        <v>12</v>
      </c>
      <c r="F1602" t="s">
        <v>20</v>
      </c>
      <c r="G1602" t="s">
        <v>60</v>
      </c>
      <c r="I1602" t="s">
        <v>12</v>
      </c>
      <c r="J1602" t="s">
        <v>12</v>
      </c>
      <c r="K1602" t="s">
        <v>12</v>
      </c>
      <c r="L1602" t="s">
        <v>496</v>
      </c>
      <c r="M1602" t="s">
        <v>950</v>
      </c>
      <c r="O1602">
        <v>10</v>
      </c>
      <c r="FB1602">
        <v>1</v>
      </c>
    </row>
    <row r="1603" spans="1:184" x14ac:dyDescent="0.25">
      <c r="A1603" t="s">
        <v>494</v>
      </c>
      <c r="B1603" t="s">
        <v>495</v>
      </c>
      <c r="C1603" s="3">
        <v>-25.61</v>
      </c>
      <c r="D1603" s="3">
        <v>25.8</v>
      </c>
      <c r="E1603" t="s">
        <v>12</v>
      </c>
      <c r="F1603" t="s">
        <v>20</v>
      </c>
      <c r="G1603" t="s">
        <v>60</v>
      </c>
      <c r="I1603" t="s">
        <v>12</v>
      </c>
      <c r="J1603" t="s">
        <v>12</v>
      </c>
      <c r="K1603" t="s">
        <v>12</v>
      </c>
      <c r="L1603" t="s">
        <v>496</v>
      </c>
      <c r="M1603" t="s">
        <v>950</v>
      </c>
      <c r="O1603">
        <v>7.5</v>
      </c>
      <c r="FC1603">
        <v>1</v>
      </c>
    </row>
    <row r="1604" spans="1:184" x14ac:dyDescent="0.25">
      <c r="A1604" t="s">
        <v>494</v>
      </c>
      <c r="B1604" t="s">
        <v>495</v>
      </c>
      <c r="C1604" s="3">
        <v>-25.61</v>
      </c>
      <c r="D1604" s="3">
        <v>25.8</v>
      </c>
      <c r="E1604" t="s">
        <v>12</v>
      </c>
      <c r="F1604" t="s">
        <v>20</v>
      </c>
      <c r="G1604" t="s">
        <v>60</v>
      </c>
      <c r="I1604" t="s">
        <v>12</v>
      </c>
      <c r="J1604" t="s">
        <v>12</v>
      </c>
      <c r="K1604" t="s">
        <v>12</v>
      </c>
      <c r="L1604" t="s">
        <v>496</v>
      </c>
      <c r="M1604" t="s">
        <v>950</v>
      </c>
      <c r="O1604">
        <v>10.5</v>
      </c>
      <c r="FD1604">
        <v>1</v>
      </c>
    </row>
    <row r="1605" spans="1:184" x14ac:dyDescent="0.25">
      <c r="A1605" t="s">
        <v>494</v>
      </c>
      <c r="B1605" t="s">
        <v>495</v>
      </c>
      <c r="C1605" s="3">
        <v>-25.61</v>
      </c>
      <c r="D1605" s="3">
        <v>25.8</v>
      </c>
      <c r="E1605" t="s">
        <v>12</v>
      </c>
      <c r="F1605" t="s">
        <v>20</v>
      </c>
      <c r="G1605" t="s">
        <v>60</v>
      </c>
      <c r="I1605" t="s">
        <v>12</v>
      </c>
      <c r="J1605" t="s">
        <v>12</v>
      </c>
      <c r="K1605" t="s">
        <v>12</v>
      </c>
      <c r="L1605" t="s">
        <v>496</v>
      </c>
      <c r="M1605" t="s">
        <v>950</v>
      </c>
      <c r="O1605">
        <v>9</v>
      </c>
      <c r="FE1605">
        <v>1</v>
      </c>
    </row>
    <row r="1606" spans="1:184" x14ac:dyDescent="0.25">
      <c r="A1606" t="s">
        <v>494</v>
      </c>
      <c r="B1606" t="s">
        <v>495</v>
      </c>
      <c r="C1606" s="3">
        <v>-25.61</v>
      </c>
      <c r="D1606" s="3">
        <v>25.8</v>
      </c>
      <c r="E1606" t="s">
        <v>12</v>
      </c>
      <c r="F1606" t="s">
        <v>20</v>
      </c>
      <c r="G1606" t="s">
        <v>60</v>
      </c>
      <c r="I1606" t="s">
        <v>12</v>
      </c>
      <c r="J1606" t="s">
        <v>12</v>
      </c>
      <c r="K1606" t="s">
        <v>12</v>
      </c>
      <c r="L1606" t="s">
        <v>496</v>
      </c>
      <c r="M1606" t="s">
        <v>950</v>
      </c>
      <c r="O1606">
        <v>9</v>
      </c>
      <c r="FF1606">
        <v>1</v>
      </c>
    </row>
    <row r="1607" spans="1:184" x14ac:dyDescent="0.25">
      <c r="A1607" t="s">
        <v>494</v>
      </c>
      <c r="B1607" t="s">
        <v>495</v>
      </c>
      <c r="C1607" s="3">
        <v>-25.61</v>
      </c>
      <c r="D1607" s="3">
        <v>25.8</v>
      </c>
      <c r="E1607" t="s">
        <v>12</v>
      </c>
      <c r="F1607" t="s">
        <v>20</v>
      </c>
      <c r="G1607" t="s">
        <v>60</v>
      </c>
      <c r="I1607" t="s">
        <v>12</v>
      </c>
      <c r="J1607" t="s">
        <v>12</v>
      </c>
      <c r="K1607" t="s">
        <v>12</v>
      </c>
      <c r="L1607" t="s">
        <v>496</v>
      </c>
      <c r="M1607" t="s">
        <v>950</v>
      </c>
      <c r="O1607">
        <v>10</v>
      </c>
      <c r="FG1607">
        <v>1</v>
      </c>
    </row>
    <row r="1608" spans="1:184" x14ac:dyDescent="0.25">
      <c r="A1608" t="s">
        <v>494</v>
      </c>
      <c r="B1608" t="s">
        <v>495</v>
      </c>
      <c r="C1608" s="3">
        <v>-25.61</v>
      </c>
      <c r="D1608" s="3">
        <v>25.8</v>
      </c>
      <c r="E1608" t="s">
        <v>12</v>
      </c>
      <c r="F1608" t="s">
        <v>20</v>
      </c>
      <c r="G1608" t="s">
        <v>60</v>
      </c>
      <c r="I1608" t="s">
        <v>12</v>
      </c>
      <c r="J1608" t="s">
        <v>12</v>
      </c>
      <c r="K1608" t="s">
        <v>12</v>
      </c>
      <c r="L1608" t="s">
        <v>496</v>
      </c>
      <c r="M1608" t="s">
        <v>950</v>
      </c>
      <c r="O1608">
        <v>10.5</v>
      </c>
      <c r="FH1608">
        <v>1</v>
      </c>
    </row>
    <row r="1609" spans="1:184" x14ac:dyDescent="0.25">
      <c r="A1609" t="s">
        <v>494</v>
      </c>
      <c r="B1609" t="s">
        <v>495</v>
      </c>
      <c r="C1609" s="3">
        <v>-25.61</v>
      </c>
      <c r="D1609" s="3">
        <v>25.8</v>
      </c>
      <c r="E1609" t="s">
        <v>12</v>
      </c>
      <c r="F1609" t="s">
        <v>20</v>
      </c>
      <c r="G1609" t="s">
        <v>60</v>
      </c>
      <c r="I1609" t="s">
        <v>12</v>
      </c>
      <c r="J1609" t="s">
        <v>12</v>
      </c>
      <c r="K1609" t="s">
        <v>12</v>
      </c>
      <c r="L1609" t="s">
        <v>496</v>
      </c>
      <c r="M1609" t="s">
        <v>950</v>
      </c>
      <c r="O1609">
        <v>11</v>
      </c>
      <c r="FI1609">
        <v>1</v>
      </c>
    </row>
    <row r="1610" spans="1:184" x14ac:dyDescent="0.25">
      <c r="A1610" t="s">
        <v>494</v>
      </c>
      <c r="B1610" t="s">
        <v>495</v>
      </c>
      <c r="C1610" s="3">
        <v>-25.61</v>
      </c>
      <c r="D1610" s="3">
        <v>25.8</v>
      </c>
      <c r="E1610" t="s">
        <v>12</v>
      </c>
      <c r="F1610" t="s">
        <v>20</v>
      </c>
      <c r="G1610" t="s">
        <v>60</v>
      </c>
      <c r="I1610" t="s">
        <v>12</v>
      </c>
      <c r="J1610" t="s">
        <v>12</v>
      </c>
      <c r="K1610" t="s">
        <v>12</v>
      </c>
      <c r="L1610" t="s">
        <v>496</v>
      </c>
      <c r="M1610" t="s">
        <v>950</v>
      </c>
      <c r="O1610">
        <v>10.5</v>
      </c>
      <c r="FJ1610">
        <v>1</v>
      </c>
    </row>
    <row r="1611" spans="1:184" x14ac:dyDescent="0.25">
      <c r="A1611" t="s">
        <v>494</v>
      </c>
      <c r="B1611" t="s">
        <v>495</v>
      </c>
      <c r="C1611" s="3">
        <v>-25.61</v>
      </c>
      <c r="D1611" s="3">
        <v>25.8</v>
      </c>
      <c r="E1611" t="s">
        <v>12</v>
      </c>
      <c r="F1611" t="s">
        <v>20</v>
      </c>
      <c r="G1611" t="s">
        <v>60</v>
      </c>
      <c r="I1611" t="s">
        <v>12</v>
      </c>
      <c r="J1611" t="s">
        <v>12</v>
      </c>
      <c r="K1611" t="s">
        <v>12</v>
      </c>
      <c r="L1611" t="s">
        <v>496</v>
      </c>
      <c r="M1611" t="s">
        <v>950</v>
      </c>
      <c r="O1611">
        <v>10.5</v>
      </c>
      <c r="FK1611">
        <v>1</v>
      </c>
    </row>
    <row r="1612" spans="1:184" x14ac:dyDescent="0.25">
      <c r="A1612" t="s">
        <v>295</v>
      </c>
      <c r="B1612" t="s">
        <v>296</v>
      </c>
      <c r="C1612" s="3">
        <v>6.93</v>
      </c>
      <c r="D1612" s="3">
        <v>79.832999999999998</v>
      </c>
      <c r="E1612" t="s">
        <v>15</v>
      </c>
      <c r="F1612" t="s">
        <v>21</v>
      </c>
      <c r="G1612" t="s">
        <v>106</v>
      </c>
      <c r="I1612" t="s">
        <v>12</v>
      </c>
      <c r="J1612" t="s">
        <v>12</v>
      </c>
      <c r="K1612" t="s">
        <v>12</v>
      </c>
      <c r="L1612" t="s">
        <v>560</v>
      </c>
      <c r="M1612" t="s">
        <v>906</v>
      </c>
      <c r="O1612">
        <v>23.87</v>
      </c>
      <c r="P1612">
        <v>11.77</v>
      </c>
      <c r="DI1612">
        <v>1</v>
      </c>
      <c r="DJ1612">
        <v>1</v>
      </c>
      <c r="DK1612">
        <v>1</v>
      </c>
      <c r="DL1612">
        <v>1</v>
      </c>
      <c r="DM1612">
        <v>1</v>
      </c>
      <c r="DN1612">
        <v>1</v>
      </c>
      <c r="DO1612">
        <v>1</v>
      </c>
      <c r="DP1612">
        <v>1</v>
      </c>
      <c r="DQ1612">
        <v>1</v>
      </c>
      <c r="DR1612">
        <v>1</v>
      </c>
      <c r="DS1612">
        <v>1</v>
      </c>
      <c r="DT1612">
        <v>1</v>
      </c>
      <c r="DU1612">
        <v>1</v>
      </c>
      <c r="DV1612">
        <v>1</v>
      </c>
      <c r="DW1612">
        <v>1</v>
      </c>
      <c r="DX1612">
        <v>1</v>
      </c>
      <c r="DY1612">
        <v>1</v>
      </c>
      <c r="DZ1612">
        <v>1</v>
      </c>
      <c r="EA1612">
        <v>1</v>
      </c>
      <c r="EB1612">
        <v>1</v>
      </c>
      <c r="EC1612">
        <v>1</v>
      </c>
      <c r="ED1612">
        <v>1</v>
      </c>
      <c r="EE1612">
        <v>1</v>
      </c>
      <c r="EF1612">
        <v>1</v>
      </c>
      <c r="EG1612">
        <v>1</v>
      </c>
      <c r="EH1612">
        <v>1</v>
      </c>
      <c r="EI1612">
        <v>1</v>
      </c>
      <c r="EJ1612">
        <v>1</v>
      </c>
      <c r="EK1612">
        <v>1</v>
      </c>
      <c r="EL1612">
        <v>1</v>
      </c>
      <c r="EM1612">
        <v>1</v>
      </c>
      <c r="EN1612">
        <v>1</v>
      </c>
      <c r="EO1612">
        <v>1</v>
      </c>
      <c r="EP1612">
        <v>1</v>
      </c>
      <c r="EQ1612">
        <v>1</v>
      </c>
      <c r="ER1612">
        <v>1</v>
      </c>
    </row>
    <row r="1613" spans="1:184" x14ac:dyDescent="0.25">
      <c r="A1613" t="s">
        <v>295</v>
      </c>
      <c r="B1613" t="s">
        <v>296</v>
      </c>
      <c r="C1613" s="3">
        <v>6.95</v>
      </c>
      <c r="D1613" s="3">
        <v>79.88</v>
      </c>
      <c r="E1613" t="s">
        <v>15</v>
      </c>
      <c r="F1613" t="s">
        <v>77</v>
      </c>
      <c r="G1613" t="s">
        <v>106</v>
      </c>
      <c r="I1613" t="s">
        <v>12</v>
      </c>
      <c r="J1613" t="s">
        <v>12</v>
      </c>
      <c r="K1613" t="s">
        <v>12</v>
      </c>
      <c r="L1613" t="s">
        <v>560</v>
      </c>
      <c r="M1613" t="s">
        <v>906</v>
      </c>
      <c r="O1613">
        <v>34.159999999999997</v>
      </c>
      <c r="P1613">
        <v>11.77</v>
      </c>
      <c r="CW1613">
        <v>1</v>
      </c>
      <c r="CX1613">
        <v>1</v>
      </c>
      <c r="CY1613">
        <v>1</v>
      </c>
      <c r="CZ1613">
        <v>1</v>
      </c>
      <c r="DA1613">
        <v>1</v>
      </c>
      <c r="DB1613">
        <v>1</v>
      </c>
      <c r="DC1613">
        <v>1</v>
      </c>
      <c r="DD1613">
        <v>1</v>
      </c>
      <c r="DE1613">
        <v>1</v>
      </c>
      <c r="DF1613">
        <v>1</v>
      </c>
      <c r="DG1613">
        <v>1</v>
      </c>
      <c r="DH1613">
        <v>1</v>
      </c>
      <c r="DI1613">
        <v>1</v>
      </c>
      <c r="DJ1613">
        <v>1</v>
      </c>
      <c r="DK1613">
        <v>1</v>
      </c>
      <c r="DL1613">
        <v>1</v>
      </c>
      <c r="DM1613">
        <v>1</v>
      </c>
      <c r="DN1613">
        <v>1</v>
      </c>
      <c r="DO1613">
        <v>1</v>
      </c>
      <c r="DP1613">
        <v>1</v>
      </c>
      <c r="DQ1613">
        <v>1</v>
      </c>
      <c r="DR1613">
        <v>1</v>
      </c>
      <c r="DS1613">
        <v>1</v>
      </c>
      <c r="DT1613">
        <v>1</v>
      </c>
      <c r="DU1613">
        <v>1</v>
      </c>
      <c r="DV1613">
        <v>1</v>
      </c>
      <c r="DW1613">
        <v>1</v>
      </c>
      <c r="DX1613">
        <v>1</v>
      </c>
      <c r="DY1613">
        <v>1</v>
      </c>
      <c r="DZ1613">
        <v>1</v>
      </c>
      <c r="EA1613">
        <v>1</v>
      </c>
      <c r="EB1613">
        <v>1</v>
      </c>
      <c r="EC1613">
        <v>1</v>
      </c>
      <c r="ED1613">
        <v>1</v>
      </c>
      <c r="EE1613">
        <v>1</v>
      </c>
      <c r="EF1613">
        <v>1</v>
      </c>
      <c r="EG1613">
        <v>1</v>
      </c>
      <c r="EH1613">
        <v>1</v>
      </c>
      <c r="EI1613">
        <v>1</v>
      </c>
      <c r="EJ1613">
        <v>1</v>
      </c>
      <c r="EK1613">
        <v>1</v>
      </c>
      <c r="EL1613">
        <v>1</v>
      </c>
      <c r="EM1613">
        <v>1</v>
      </c>
      <c r="EN1613">
        <v>1</v>
      </c>
      <c r="EO1613">
        <v>1</v>
      </c>
      <c r="EP1613">
        <v>1</v>
      </c>
      <c r="EQ1613">
        <v>1</v>
      </c>
      <c r="ER1613">
        <v>1</v>
      </c>
    </row>
    <row r="1614" spans="1:184" x14ac:dyDescent="0.25">
      <c r="A1614" t="s">
        <v>295</v>
      </c>
      <c r="B1614" t="s">
        <v>296</v>
      </c>
      <c r="C1614" s="3">
        <v>6.94</v>
      </c>
      <c r="D1614" s="3">
        <v>79.86</v>
      </c>
      <c r="E1614" t="s">
        <v>34</v>
      </c>
      <c r="F1614" t="s">
        <v>77</v>
      </c>
      <c r="G1614" t="s">
        <v>106</v>
      </c>
      <c r="H1614">
        <v>50</v>
      </c>
      <c r="I1614" t="s">
        <v>15</v>
      </c>
      <c r="J1614" t="s">
        <v>12</v>
      </c>
      <c r="K1614" t="s">
        <v>15</v>
      </c>
      <c r="L1614" t="s">
        <v>297</v>
      </c>
      <c r="M1614" t="s">
        <v>1047</v>
      </c>
      <c r="N1614" t="s">
        <v>285</v>
      </c>
      <c r="O1614">
        <f>AVERAGE(29,22.9)</f>
        <v>25.95</v>
      </c>
      <c r="P1614">
        <f>AVERAGE(15,11.9)</f>
        <v>13.45</v>
      </c>
      <c r="BY1614">
        <v>1</v>
      </c>
      <c r="BZ1614">
        <v>1</v>
      </c>
      <c r="CA1614">
        <v>1</v>
      </c>
      <c r="CB1614">
        <v>1</v>
      </c>
      <c r="CC1614">
        <v>1</v>
      </c>
      <c r="CD1614">
        <v>1</v>
      </c>
      <c r="CE1614">
        <v>1</v>
      </c>
      <c r="CF1614">
        <v>1</v>
      </c>
      <c r="CG1614">
        <v>1</v>
      </c>
      <c r="CH1614">
        <v>1</v>
      </c>
      <c r="CI1614">
        <v>1</v>
      </c>
      <c r="CJ1614">
        <v>1</v>
      </c>
      <c r="CK1614">
        <v>1</v>
      </c>
      <c r="CL1614">
        <v>1</v>
      </c>
      <c r="CM1614">
        <v>1</v>
      </c>
      <c r="CN1614">
        <v>1</v>
      </c>
      <c r="CO1614">
        <v>1</v>
      </c>
      <c r="CP1614">
        <v>1</v>
      </c>
      <c r="CQ1614">
        <v>1</v>
      </c>
      <c r="CR1614">
        <v>1</v>
      </c>
      <c r="CS1614">
        <v>1</v>
      </c>
      <c r="CT1614">
        <v>1</v>
      </c>
      <c r="CU1614">
        <v>1</v>
      </c>
      <c r="CV1614">
        <v>1</v>
      </c>
      <c r="CW1614">
        <v>1</v>
      </c>
      <c r="CX1614">
        <v>1</v>
      </c>
      <c r="CY1614">
        <v>1</v>
      </c>
      <c r="CZ1614">
        <v>1</v>
      </c>
      <c r="DA1614">
        <v>1</v>
      </c>
      <c r="DB1614">
        <v>1</v>
      </c>
      <c r="DC1614">
        <v>1</v>
      </c>
      <c r="DD1614">
        <v>1</v>
      </c>
      <c r="DE1614">
        <v>1</v>
      </c>
      <c r="DF1614">
        <v>1</v>
      </c>
      <c r="DG1614">
        <v>1</v>
      </c>
      <c r="DH1614">
        <v>1</v>
      </c>
      <c r="DI1614">
        <v>1</v>
      </c>
      <c r="DJ1614">
        <v>1</v>
      </c>
      <c r="DK1614">
        <v>1</v>
      </c>
      <c r="DL1614">
        <v>1</v>
      </c>
      <c r="DM1614">
        <v>1</v>
      </c>
      <c r="DN1614">
        <v>1</v>
      </c>
      <c r="DO1614">
        <v>1</v>
      </c>
      <c r="DP1614">
        <v>1</v>
      </c>
      <c r="DQ1614">
        <v>1</v>
      </c>
      <c r="DR1614">
        <v>1</v>
      </c>
      <c r="DS1614">
        <v>1</v>
      </c>
      <c r="DT1614">
        <v>1</v>
      </c>
      <c r="DU1614">
        <v>1</v>
      </c>
      <c r="DV1614">
        <v>1</v>
      </c>
      <c r="DW1614">
        <v>1</v>
      </c>
      <c r="DX1614">
        <v>1</v>
      </c>
      <c r="DY1614">
        <v>1</v>
      </c>
      <c r="DZ1614">
        <v>1</v>
      </c>
      <c r="EA1614">
        <v>1</v>
      </c>
      <c r="EB1614">
        <v>1</v>
      </c>
      <c r="EC1614">
        <v>1</v>
      </c>
      <c r="ED1614">
        <v>1</v>
      </c>
      <c r="EE1614">
        <v>1</v>
      </c>
      <c r="EF1614">
        <v>1</v>
      </c>
      <c r="EG1614">
        <v>1</v>
      </c>
      <c r="EH1614">
        <v>1</v>
      </c>
      <c r="EI1614">
        <v>1</v>
      </c>
      <c r="EJ1614">
        <v>1</v>
      </c>
      <c r="EK1614">
        <v>1</v>
      </c>
      <c r="EL1614">
        <v>1</v>
      </c>
      <c r="EM1614">
        <v>1</v>
      </c>
      <c r="EN1614">
        <v>1</v>
      </c>
      <c r="EO1614">
        <v>1</v>
      </c>
      <c r="EP1614">
        <v>1</v>
      </c>
      <c r="EQ1614">
        <v>1</v>
      </c>
      <c r="ER1614">
        <v>1</v>
      </c>
      <c r="ES1614">
        <v>1</v>
      </c>
      <c r="ET1614">
        <v>1</v>
      </c>
      <c r="EU1614">
        <v>1</v>
      </c>
      <c r="EV1614">
        <v>1</v>
      </c>
      <c r="EW1614">
        <v>1</v>
      </c>
      <c r="EX1614">
        <v>1</v>
      </c>
      <c r="EY1614">
        <v>1</v>
      </c>
      <c r="EZ1614">
        <v>1</v>
      </c>
      <c r="FA1614">
        <v>1</v>
      </c>
      <c r="FB1614">
        <v>1</v>
      </c>
      <c r="FC1614">
        <v>1</v>
      </c>
      <c r="FD1614">
        <v>1</v>
      </c>
      <c r="FE1614">
        <v>1</v>
      </c>
      <c r="FF1614">
        <v>1</v>
      </c>
      <c r="FG1614">
        <v>1</v>
      </c>
      <c r="FH1614">
        <v>1</v>
      </c>
      <c r="FI1614">
        <v>1</v>
      </c>
      <c r="FJ1614">
        <v>1</v>
      </c>
      <c r="FK1614">
        <v>1</v>
      </c>
      <c r="FL1614">
        <v>1</v>
      </c>
      <c r="FM1614">
        <v>1</v>
      </c>
      <c r="FN1614">
        <v>1</v>
      </c>
      <c r="FO1614">
        <v>1</v>
      </c>
      <c r="FP1614">
        <v>1</v>
      </c>
      <c r="FQ1614">
        <v>1</v>
      </c>
      <c r="FR1614">
        <v>1</v>
      </c>
      <c r="FS1614">
        <v>1</v>
      </c>
      <c r="FT1614">
        <v>1</v>
      </c>
      <c r="FU1614">
        <v>1</v>
      </c>
      <c r="FV1614">
        <v>1</v>
      </c>
      <c r="FW1614">
        <v>1</v>
      </c>
      <c r="FX1614">
        <v>1</v>
      </c>
      <c r="FY1614">
        <v>1</v>
      </c>
      <c r="FZ1614">
        <v>1</v>
      </c>
      <c r="GA1614">
        <v>1</v>
      </c>
      <c r="GB1614">
        <v>1</v>
      </c>
    </row>
    <row r="1615" spans="1:184" x14ac:dyDescent="0.25">
      <c r="A1615" t="s">
        <v>295</v>
      </c>
      <c r="B1615" t="s">
        <v>296</v>
      </c>
      <c r="C1615" s="3">
        <v>6.94</v>
      </c>
      <c r="D1615" s="3">
        <v>79.86</v>
      </c>
      <c r="E1615" t="s">
        <v>34</v>
      </c>
      <c r="F1615" t="s">
        <v>77</v>
      </c>
      <c r="G1615" t="s">
        <v>106</v>
      </c>
      <c r="H1615">
        <v>50</v>
      </c>
      <c r="I1615" t="s">
        <v>15</v>
      </c>
      <c r="J1615" t="s">
        <v>12</v>
      </c>
      <c r="K1615" t="s">
        <v>15</v>
      </c>
      <c r="L1615" t="s">
        <v>297</v>
      </c>
      <c r="M1615" t="s">
        <v>1047</v>
      </c>
      <c r="O1615">
        <v>31</v>
      </c>
      <c r="BY1615">
        <v>1</v>
      </c>
      <c r="BZ1615">
        <v>1</v>
      </c>
      <c r="CA1615">
        <v>1</v>
      </c>
      <c r="CB1615">
        <v>1</v>
      </c>
      <c r="CC1615">
        <v>1</v>
      </c>
      <c r="CD1615">
        <v>1</v>
      </c>
      <c r="CE1615">
        <v>1</v>
      </c>
      <c r="CF1615">
        <v>1</v>
      </c>
      <c r="CG1615">
        <v>1</v>
      </c>
      <c r="CH1615">
        <v>1</v>
      </c>
      <c r="CI1615">
        <v>1</v>
      </c>
      <c r="CJ1615">
        <v>1</v>
      </c>
    </row>
    <row r="1616" spans="1:184" x14ac:dyDescent="0.25">
      <c r="A1616" t="s">
        <v>295</v>
      </c>
      <c r="B1616" t="s">
        <v>296</v>
      </c>
      <c r="C1616" s="3">
        <v>6.94</v>
      </c>
      <c r="D1616" s="3">
        <v>79.86</v>
      </c>
      <c r="E1616" t="s">
        <v>34</v>
      </c>
      <c r="F1616" t="s">
        <v>77</v>
      </c>
      <c r="G1616" t="s">
        <v>106</v>
      </c>
      <c r="H1616">
        <v>50</v>
      </c>
      <c r="I1616" t="s">
        <v>15</v>
      </c>
      <c r="J1616" t="s">
        <v>12</v>
      </c>
      <c r="K1616" t="s">
        <v>15</v>
      </c>
      <c r="L1616" t="s">
        <v>297</v>
      </c>
      <c r="M1616" t="s">
        <v>1047</v>
      </c>
      <c r="O1616">
        <v>27</v>
      </c>
      <c r="CK1616">
        <v>1</v>
      </c>
      <c r="CL1616">
        <v>1</v>
      </c>
      <c r="CM1616">
        <v>1</v>
      </c>
      <c r="CN1616">
        <v>1</v>
      </c>
      <c r="CO1616">
        <v>1</v>
      </c>
      <c r="CP1616">
        <v>1</v>
      </c>
      <c r="CQ1616">
        <v>1</v>
      </c>
      <c r="CR1616">
        <v>1</v>
      </c>
      <c r="CS1616">
        <v>1</v>
      </c>
      <c r="CT1616">
        <v>1</v>
      </c>
      <c r="CU1616">
        <v>1</v>
      </c>
      <c r="CV1616">
        <v>1</v>
      </c>
    </row>
    <row r="1617" spans="1:184" x14ac:dyDescent="0.25">
      <c r="A1617" t="s">
        <v>295</v>
      </c>
      <c r="B1617" t="s">
        <v>296</v>
      </c>
      <c r="C1617" s="3">
        <v>6.94</v>
      </c>
      <c r="D1617" s="3">
        <v>79.86</v>
      </c>
      <c r="E1617" t="s">
        <v>34</v>
      </c>
      <c r="F1617" t="s">
        <v>77</v>
      </c>
      <c r="G1617" t="s">
        <v>106</v>
      </c>
      <c r="H1617">
        <v>50</v>
      </c>
      <c r="I1617" t="s">
        <v>15</v>
      </c>
      <c r="J1617" t="s">
        <v>12</v>
      </c>
      <c r="K1617" t="s">
        <v>15</v>
      </c>
      <c r="L1617" t="s">
        <v>297</v>
      </c>
      <c r="M1617" t="s">
        <v>1047</v>
      </c>
      <c r="O1617">
        <v>32</v>
      </c>
      <c r="CW1617">
        <v>1</v>
      </c>
      <c r="CX1617">
        <v>1</v>
      </c>
      <c r="CY1617">
        <v>1</v>
      </c>
      <c r="CZ1617">
        <v>1</v>
      </c>
      <c r="DA1617">
        <v>1</v>
      </c>
      <c r="DB1617">
        <v>1</v>
      </c>
      <c r="DC1617">
        <v>1</v>
      </c>
      <c r="DD1617">
        <v>1</v>
      </c>
      <c r="DE1617">
        <v>1</v>
      </c>
      <c r="DF1617">
        <v>1</v>
      </c>
      <c r="DG1617">
        <v>1</v>
      </c>
      <c r="DH1617">
        <v>1</v>
      </c>
    </row>
    <row r="1618" spans="1:184" x14ac:dyDescent="0.25">
      <c r="A1618" t="s">
        <v>295</v>
      </c>
      <c r="B1618" t="s">
        <v>296</v>
      </c>
      <c r="C1618" s="3">
        <v>6.94</v>
      </c>
      <c r="D1618" s="3">
        <v>79.86</v>
      </c>
      <c r="E1618" t="s">
        <v>34</v>
      </c>
      <c r="F1618" t="s">
        <v>77</v>
      </c>
      <c r="G1618" t="s">
        <v>106</v>
      </c>
      <c r="H1618">
        <v>50</v>
      </c>
      <c r="I1618" t="s">
        <v>15</v>
      </c>
      <c r="J1618" t="s">
        <v>12</v>
      </c>
      <c r="K1618" t="s">
        <v>15</v>
      </c>
      <c r="L1618" t="s">
        <v>297</v>
      </c>
      <c r="M1618" t="s">
        <v>1047</v>
      </c>
      <c r="O1618">
        <v>33</v>
      </c>
      <c r="DI1618">
        <v>1</v>
      </c>
      <c r="DJ1618">
        <v>1</v>
      </c>
      <c r="DK1618">
        <v>1</v>
      </c>
      <c r="DL1618">
        <v>1</v>
      </c>
      <c r="DM1618">
        <v>1</v>
      </c>
      <c r="DN1618">
        <v>1</v>
      </c>
      <c r="DO1618">
        <v>1</v>
      </c>
      <c r="DP1618">
        <v>1</v>
      </c>
      <c r="DQ1618">
        <v>1</v>
      </c>
      <c r="DR1618">
        <v>1</v>
      </c>
      <c r="DS1618">
        <v>1</v>
      </c>
      <c r="DT1618">
        <v>1</v>
      </c>
    </row>
    <row r="1619" spans="1:184" x14ac:dyDescent="0.25">
      <c r="A1619" t="s">
        <v>295</v>
      </c>
      <c r="B1619" t="s">
        <v>296</v>
      </c>
      <c r="C1619" s="3">
        <v>6.94</v>
      </c>
      <c r="D1619" s="3">
        <v>79.86</v>
      </c>
      <c r="E1619" t="s">
        <v>34</v>
      </c>
      <c r="F1619" t="s">
        <v>77</v>
      </c>
      <c r="G1619" t="s">
        <v>106</v>
      </c>
      <c r="H1619">
        <v>50</v>
      </c>
      <c r="I1619" t="s">
        <v>15</v>
      </c>
      <c r="J1619" t="s">
        <v>12</v>
      </c>
      <c r="K1619" t="s">
        <v>15</v>
      </c>
      <c r="L1619" t="s">
        <v>297</v>
      </c>
      <c r="M1619" t="s">
        <v>1047</v>
      </c>
      <c r="O1619">
        <v>30</v>
      </c>
      <c r="DU1619">
        <v>1</v>
      </c>
      <c r="DV1619">
        <v>1</v>
      </c>
      <c r="DW1619">
        <v>1</v>
      </c>
      <c r="DX1619">
        <v>1</v>
      </c>
      <c r="DY1619">
        <v>1</v>
      </c>
      <c r="DZ1619">
        <v>1</v>
      </c>
      <c r="EA1619">
        <v>1</v>
      </c>
      <c r="EB1619">
        <v>1</v>
      </c>
      <c r="EC1619">
        <v>1</v>
      </c>
      <c r="ED1619">
        <v>1</v>
      </c>
      <c r="EE1619">
        <v>1</v>
      </c>
      <c r="EF1619">
        <v>1</v>
      </c>
    </row>
    <row r="1620" spans="1:184" x14ac:dyDescent="0.25">
      <c r="A1620" t="s">
        <v>295</v>
      </c>
      <c r="B1620" t="s">
        <v>296</v>
      </c>
      <c r="C1620" s="3">
        <v>6.94</v>
      </c>
      <c r="D1620" s="3">
        <v>79.86</v>
      </c>
      <c r="E1620" t="s">
        <v>34</v>
      </c>
      <c r="F1620" t="s">
        <v>77</v>
      </c>
      <c r="G1620" t="s">
        <v>106</v>
      </c>
      <c r="H1620">
        <v>50</v>
      </c>
      <c r="I1620" t="s">
        <v>15</v>
      </c>
      <c r="J1620" t="s">
        <v>12</v>
      </c>
      <c r="K1620" t="s">
        <v>15</v>
      </c>
      <c r="L1620" t="s">
        <v>297</v>
      </c>
      <c r="M1620" t="s">
        <v>1047</v>
      </c>
      <c r="O1620">
        <v>16</v>
      </c>
      <c r="EG1620">
        <v>1</v>
      </c>
      <c r="EH1620">
        <v>1</v>
      </c>
      <c r="EI1620">
        <v>1</v>
      </c>
      <c r="EJ1620">
        <v>1</v>
      </c>
      <c r="EK1620">
        <v>1</v>
      </c>
      <c r="EL1620">
        <v>1</v>
      </c>
      <c r="EM1620">
        <v>1</v>
      </c>
      <c r="EN1620">
        <v>1</v>
      </c>
      <c r="EO1620">
        <v>1</v>
      </c>
      <c r="EP1620">
        <v>1</v>
      </c>
      <c r="EQ1620">
        <v>1</v>
      </c>
      <c r="ER1620">
        <v>1</v>
      </c>
    </row>
    <row r="1621" spans="1:184" x14ac:dyDescent="0.25">
      <c r="A1621" t="s">
        <v>295</v>
      </c>
      <c r="B1621" t="s">
        <v>296</v>
      </c>
      <c r="C1621" s="3">
        <v>6.94</v>
      </c>
      <c r="D1621" s="3">
        <v>79.86</v>
      </c>
      <c r="E1621" t="s">
        <v>34</v>
      </c>
      <c r="F1621" t="s">
        <v>77</v>
      </c>
      <c r="G1621" t="s">
        <v>106</v>
      </c>
      <c r="H1621">
        <v>50</v>
      </c>
      <c r="I1621" t="s">
        <v>15</v>
      </c>
      <c r="J1621" t="s">
        <v>12</v>
      </c>
      <c r="K1621" t="s">
        <v>15</v>
      </c>
      <c r="L1621" t="s">
        <v>297</v>
      </c>
      <c r="M1621" t="s">
        <v>1047</v>
      </c>
      <c r="O1621">
        <v>18</v>
      </c>
      <c r="ES1621">
        <v>1</v>
      </c>
      <c r="ET1621">
        <v>1</v>
      </c>
      <c r="EU1621">
        <v>1</v>
      </c>
      <c r="EV1621">
        <v>1</v>
      </c>
      <c r="EW1621">
        <v>1</v>
      </c>
      <c r="EX1621">
        <v>1</v>
      </c>
      <c r="EY1621">
        <v>1</v>
      </c>
      <c r="EZ1621">
        <v>1</v>
      </c>
      <c r="FA1621">
        <v>1</v>
      </c>
      <c r="FB1621">
        <v>1</v>
      </c>
      <c r="FC1621">
        <v>1</v>
      </c>
      <c r="FD1621">
        <v>1</v>
      </c>
    </row>
    <row r="1622" spans="1:184" x14ac:dyDescent="0.25">
      <c r="A1622" t="s">
        <v>295</v>
      </c>
      <c r="B1622" t="s">
        <v>296</v>
      </c>
      <c r="C1622" s="3">
        <v>6.94</v>
      </c>
      <c r="D1622" s="3">
        <v>79.86</v>
      </c>
      <c r="E1622" t="s">
        <v>34</v>
      </c>
      <c r="F1622" t="s">
        <v>77</v>
      </c>
      <c r="G1622" t="s">
        <v>106</v>
      </c>
      <c r="H1622">
        <v>50</v>
      </c>
      <c r="I1622" t="s">
        <v>15</v>
      </c>
      <c r="J1622" t="s">
        <v>12</v>
      </c>
      <c r="K1622" t="s">
        <v>15</v>
      </c>
      <c r="L1622" t="s">
        <v>297</v>
      </c>
      <c r="M1622" t="s">
        <v>1047</v>
      </c>
      <c r="O1622">
        <v>19</v>
      </c>
      <c r="FE1622">
        <v>1</v>
      </c>
      <c r="FF1622">
        <v>1</v>
      </c>
      <c r="FG1622">
        <v>1</v>
      </c>
      <c r="FH1622">
        <v>1</v>
      </c>
      <c r="FI1622">
        <v>1</v>
      </c>
      <c r="FJ1622">
        <v>1</v>
      </c>
      <c r="FK1622">
        <v>1</v>
      </c>
      <c r="FL1622">
        <v>1</v>
      </c>
      <c r="FM1622">
        <v>1</v>
      </c>
      <c r="FN1622">
        <v>1</v>
      </c>
      <c r="FO1622">
        <v>1</v>
      </c>
      <c r="FP1622">
        <v>1</v>
      </c>
    </row>
    <row r="1623" spans="1:184" x14ac:dyDescent="0.25">
      <c r="A1623" t="s">
        <v>295</v>
      </c>
      <c r="B1623" t="s">
        <v>296</v>
      </c>
      <c r="C1623" s="3">
        <v>6.94</v>
      </c>
      <c r="D1623" s="3">
        <v>79.86</v>
      </c>
      <c r="E1623" t="s">
        <v>34</v>
      </c>
      <c r="F1623" t="s">
        <v>77</v>
      </c>
      <c r="G1623" t="s">
        <v>106</v>
      </c>
      <c r="H1623">
        <v>50</v>
      </c>
      <c r="I1623" t="s">
        <v>15</v>
      </c>
      <c r="J1623" t="s">
        <v>12</v>
      </c>
      <c r="K1623" t="s">
        <v>15</v>
      </c>
      <c r="L1623" t="s">
        <v>297</v>
      </c>
      <c r="M1623" t="s">
        <v>1047</v>
      </c>
      <c r="O1623">
        <v>4</v>
      </c>
      <c r="FQ1623">
        <v>1</v>
      </c>
      <c r="FR1623">
        <v>1</v>
      </c>
      <c r="FS1623">
        <v>1</v>
      </c>
      <c r="FT1623">
        <v>1</v>
      </c>
      <c r="FU1623">
        <v>1</v>
      </c>
      <c r="FV1623">
        <v>1</v>
      </c>
      <c r="FW1623">
        <v>1</v>
      </c>
      <c r="FX1623">
        <v>1</v>
      </c>
      <c r="FY1623">
        <v>1</v>
      </c>
      <c r="FZ1623">
        <v>1</v>
      </c>
      <c r="GA1623">
        <v>1</v>
      </c>
      <c r="GB1623">
        <v>1</v>
      </c>
    </row>
    <row r="1624" spans="1:184" x14ac:dyDescent="0.25">
      <c r="A1624" t="s">
        <v>618</v>
      </c>
      <c r="B1624" t="s">
        <v>136</v>
      </c>
      <c r="C1624">
        <f t="shared" ref="C1624:C1659" si="40">25+36.7/3600</f>
        <v>25.010194444444444</v>
      </c>
      <c r="D1624" s="3">
        <f t="shared" ref="D1624:D1659" si="41">121+27/60+31.2/3600</f>
        <v>121.45866666666667</v>
      </c>
      <c r="E1624" t="s">
        <v>15</v>
      </c>
      <c r="F1624" t="s">
        <v>19</v>
      </c>
      <c r="G1624" t="s">
        <v>214</v>
      </c>
      <c r="I1624" t="s">
        <v>12</v>
      </c>
      <c r="J1624" t="s">
        <v>12</v>
      </c>
      <c r="K1624" t="s">
        <v>12</v>
      </c>
      <c r="L1624" t="s">
        <v>624</v>
      </c>
      <c r="M1624" t="s">
        <v>868</v>
      </c>
      <c r="O1624">
        <v>34</v>
      </c>
      <c r="ES1624">
        <v>1</v>
      </c>
    </row>
    <row r="1625" spans="1:184" x14ac:dyDescent="0.25">
      <c r="A1625" t="s">
        <v>618</v>
      </c>
      <c r="B1625" t="s">
        <v>136</v>
      </c>
      <c r="C1625">
        <f t="shared" si="40"/>
        <v>25.010194444444444</v>
      </c>
      <c r="D1625" s="3">
        <f t="shared" si="41"/>
        <v>121.45866666666667</v>
      </c>
      <c r="E1625" t="s">
        <v>15</v>
      </c>
      <c r="F1625" t="s">
        <v>19</v>
      </c>
      <c r="G1625" t="s">
        <v>214</v>
      </c>
      <c r="I1625" t="s">
        <v>12</v>
      </c>
      <c r="J1625" t="s">
        <v>12</v>
      </c>
      <c r="K1625" t="s">
        <v>12</v>
      </c>
      <c r="L1625" t="s">
        <v>624</v>
      </c>
      <c r="M1625" t="s">
        <v>868</v>
      </c>
      <c r="O1625">
        <v>33</v>
      </c>
      <c r="ET1625">
        <v>1</v>
      </c>
    </row>
    <row r="1626" spans="1:184" x14ac:dyDescent="0.25">
      <c r="A1626" t="s">
        <v>618</v>
      </c>
      <c r="B1626" t="s">
        <v>136</v>
      </c>
      <c r="C1626">
        <f t="shared" si="40"/>
        <v>25.010194444444444</v>
      </c>
      <c r="D1626" s="3">
        <f t="shared" si="41"/>
        <v>121.45866666666667</v>
      </c>
      <c r="E1626" t="s">
        <v>15</v>
      </c>
      <c r="F1626" t="s">
        <v>19</v>
      </c>
      <c r="G1626" t="s">
        <v>214</v>
      </c>
      <c r="I1626" t="s">
        <v>12</v>
      </c>
      <c r="J1626" t="s">
        <v>12</v>
      </c>
      <c r="K1626" t="s">
        <v>12</v>
      </c>
      <c r="L1626" t="s">
        <v>624</v>
      </c>
      <c r="M1626" t="s">
        <v>868</v>
      </c>
      <c r="O1626">
        <v>37</v>
      </c>
      <c r="EU1626">
        <v>1</v>
      </c>
    </row>
    <row r="1627" spans="1:184" x14ac:dyDescent="0.25">
      <c r="A1627" t="s">
        <v>618</v>
      </c>
      <c r="B1627" t="s">
        <v>136</v>
      </c>
      <c r="C1627">
        <f t="shared" si="40"/>
        <v>25.010194444444444</v>
      </c>
      <c r="D1627" s="3">
        <f t="shared" si="41"/>
        <v>121.45866666666667</v>
      </c>
      <c r="E1627" t="s">
        <v>15</v>
      </c>
      <c r="F1627" t="s">
        <v>19</v>
      </c>
      <c r="G1627" t="s">
        <v>214</v>
      </c>
      <c r="I1627" t="s">
        <v>12</v>
      </c>
      <c r="J1627" t="s">
        <v>12</v>
      </c>
      <c r="K1627" t="s">
        <v>12</v>
      </c>
      <c r="L1627" t="s">
        <v>624</v>
      </c>
      <c r="M1627" t="s">
        <v>868</v>
      </c>
      <c r="O1627">
        <v>35</v>
      </c>
      <c r="EV1627">
        <v>1</v>
      </c>
    </row>
    <row r="1628" spans="1:184" x14ac:dyDescent="0.25">
      <c r="A1628" t="s">
        <v>618</v>
      </c>
      <c r="B1628" t="s">
        <v>136</v>
      </c>
      <c r="C1628">
        <f t="shared" si="40"/>
        <v>25.010194444444444</v>
      </c>
      <c r="D1628" s="3">
        <f t="shared" si="41"/>
        <v>121.45866666666667</v>
      </c>
      <c r="E1628" t="s">
        <v>15</v>
      </c>
      <c r="F1628" t="s">
        <v>19</v>
      </c>
      <c r="G1628" t="s">
        <v>214</v>
      </c>
      <c r="I1628" t="s">
        <v>12</v>
      </c>
      <c r="J1628" t="s">
        <v>12</v>
      </c>
      <c r="K1628" t="s">
        <v>12</v>
      </c>
      <c r="L1628" t="s">
        <v>624</v>
      </c>
      <c r="M1628" t="s">
        <v>868</v>
      </c>
      <c r="O1628">
        <v>34</v>
      </c>
      <c r="EW1628">
        <v>1</v>
      </c>
    </row>
    <row r="1629" spans="1:184" x14ac:dyDescent="0.25">
      <c r="A1629" t="s">
        <v>618</v>
      </c>
      <c r="B1629" t="s">
        <v>136</v>
      </c>
      <c r="C1629">
        <f t="shared" si="40"/>
        <v>25.010194444444444</v>
      </c>
      <c r="D1629" s="3">
        <f t="shared" si="41"/>
        <v>121.45866666666667</v>
      </c>
      <c r="E1629" t="s">
        <v>15</v>
      </c>
      <c r="F1629" t="s">
        <v>19</v>
      </c>
      <c r="G1629" t="s">
        <v>214</v>
      </c>
      <c r="I1629" t="s">
        <v>12</v>
      </c>
      <c r="J1629" t="s">
        <v>12</v>
      </c>
      <c r="K1629" t="s">
        <v>12</v>
      </c>
      <c r="L1629" t="s">
        <v>624</v>
      </c>
      <c r="M1629" t="s">
        <v>868</v>
      </c>
      <c r="O1629">
        <v>34</v>
      </c>
      <c r="EX1629">
        <v>1</v>
      </c>
    </row>
    <row r="1630" spans="1:184" x14ac:dyDescent="0.25">
      <c r="A1630" t="s">
        <v>618</v>
      </c>
      <c r="B1630" t="s">
        <v>136</v>
      </c>
      <c r="C1630">
        <f t="shared" si="40"/>
        <v>25.010194444444444</v>
      </c>
      <c r="D1630" s="3">
        <f t="shared" si="41"/>
        <v>121.45866666666667</v>
      </c>
      <c r="E1630" t="s">
        <v>15</v>
      </c>
      <c r="F1630" t="s">
        <v>19</v>
      </c>
      <c r="G1630" t="s">
        <v>214</v>
      </c>
      <c r="I1630" t="s">
        <v>12</v>
      </c>
      <c r="J1630" t="s">
        <v>12</v>
      </c>
      <c r="K1630" t="s">
        <v>12</v>
      </c>
      <c r="L1630" t="s">
        <v>624</v>
      </c>
      <c r="M1630" t="s">
        <v>868</v>
      </c>
      <c r="O1630">
        <v>21</v>
      </c>
      <c r="EY1630">
        <v>1</v>
      </c>
    </row>
    <row r="1631" spans="1:184" x14ac:dyDescent="0.25">
      <c r="A1631" t="s">
        <v>618</v>
      </c>
      <c r="B1631" t="s">
        <v>136</v>
      </c>
      <c r="C1631">
        <f t="shared" si="40"/>
        <v>25.010194444444444</v>
      </c>
      <c r="D1631" s="3">
        <f t="shared" si="41"/>
        <v>121.45866666666667</v>
      </c>
      <c r="E1631" t="s">
        <v>15</v>
      </c>
      <c r="F1631" t="s">
        <v>19</v>
      </c>
      <c r="G1631" t="s">
        <v>214</v>
      </c>
      <c r="I1631" t="s">
        <v>12</v>
      </c>
      <c r="J1631" t="s">
        <v>12</v>
      </c>
      <c r="K1631" t="s">
        <v>12</v>
      </c>
      <c r="L1631" t="s">
        <v>624</v>
      </c>
      <c r="M1631" t="s">
        <v>868</v>
      </c>
      <c r="O1631">
        <v>27</v>
      </c>
      <c r="EZ1631">
        <v>1</v>
      </c>
    </row>
    <row r="1632" spans="1:184" x14ac:dyDescent="0.25">
      <c r="A1632" t="s">
        <v>618</v>
      </c>
      <c r="B1632" t="s">
        <v>136</v>
      </c>
      <c r="C1632">
        <f t="shared" si="40"/>
        <v>25.010194444444444</v>
      </c>
      <c r="D1632" s="3">
        <f t="shared" si="41"/>
        <v>121.45866666666667</v>
      </c>
      <c r="E1632" t="s">
        <v>15</v>
      </c>
      <c r="F1632" t="s">
        <v>19</v>
      </c>
      <c r="G1632" t="s">
        <v>214</v>
      </c>
      <c r="I1632" t="s">
        <v>12</v>
      </c>
      <c r="J1632" t="s">
        <v>12</v>
      </c>
      <c r="K1632" t="s">
        <v>12</v>
      </c>
      <c r="L1632" t="s">
        <v>624</v>
      </c>
      <c r="M1632" t="s">
        <v>868</v>
      </c>
      <c r="O1632">
        <v>26</v>
      </c>
      <c r="FA1632">
        <v>1</v>
      </c>
    </row>
    <row r="1633" spans="1:173" x14ac:dyDescent="0.25">
      <c r="A1633" t="s">
        <v>618</v>
      </c>
      <c r="B1633" t="s">
        <v>136</v>
      </c>
      <c r="C1633">
        <f t="shared" si="40"/>
        <v>25.010194444444444</v>
      </c>
      <c r="D1633" s="3">
        <f t="shared" si="41"/>
        <v>121.45866666666667</v>
      </c>
      <c r="E1633" t="s">
        <v>15</v>
      </c>
      <c r="F1633" t="s">
        <v>19</v>
      </c>
      <c r="G1633" t="s">
        <v>214</v>
      </c>
      <c r="I1633" t="s">
        <v>12</v>
      </c>
      <c r="J1633" t="s">
        <v>12</v>
      </c>
      <c r="K1633" t="s">
        <v>12</v>
      </c>
      <c r="L1633" t="s">
        <v>624</v>
      </c>
      <c r="M1633" t="s">
        <v>868</v>
      </c>
      <c r="O1633">
        <v>30</v>
      </c>
      <c r="FB1633">
        <v>1</v>
      </c>
    </row>
    <row r="1634" spans="1:173" x14ac:dyDescent="0.25">
      <c r="A1634" t="s">
        <v>618</v>
      </c>
      <c r="B1634" t="s">
        <v>136</v>
      </c>
      <c r="C1634">
        <f t="shared" si="40"/>
        <v>25.010194444444444</v>
      </c>
      <c r="D1634" s="3">
        <f t="shared" si="41"/>
        <v>121.45866666666667</v>
      </c>
      <c r="E1634" t="s">
        <v>15</v>
      </c>
      <c r="F1634" t="s">
        <v>19</v>
      </c>
      <c r="G1634" t="s">
        <v>214</v>
      </c>
      <c r="I1634" t="s">
        <v>12</v>
      </c>
      <c r="J1634" t="s">
        <v>12</v>
      </c>
      <c r="K1634" t="s">
        <v>12</v>
      </c>
      <c r="L1634" t="s">
        <v>624</v>
      </c>
      <c r="M1634" t="s">
        <v>868</v>
      </c>
      <c r="O1634">
        <v>33</v>
      </c>
      <c r="FC1634">
        <v>1</v>
      </c>
    </row>
    <row r="1635" spans="1:173" x14ac:dyDescent="0.25">
      <c r="A1635" t="s">
        <v>618</v>
      </c>
      <c r="B1635" t="s">
        <v>136</v>
      </c>
      <c r="C1635">
        <f t="shared" si="40"/>
        <v>25.010194444444444</v>
      </c>
      <c r="D1635" s="3">
        <f t="shared" si="41"/>
        <v>121.45866666666667</v>
      </c>
      <c r="E1635" t="s">
        <v>15</v>
      </c>
      <c r="F1635" t="s">
        <v>19</v>
      </c>
      <c r="G1635" t="s">
        <v>214</v>
      </c>
      <c r="I1635" t="s">
        <v>12</v>
      </c>
      <c r="J1635" t="s">
        <v>12</v>
      </c>
      <c r="K1635" t="s">
        <v>12</v>
      </c>
      <c r="L1635" t="s">
        <v>624</v>
      </c>
      <c r="M1635" t="s">
        <v>868</v>
      </c>
      <c r="O1635">
        <v>24</v>
      </c>
      <c r="FD1635">
        <v>1</v>
      </c>
    </row>
    <row r="1636" spans="1:173" x14ac:dyDescent="0.25">
      <c r="A1636" t="s">
        <v>618</v>
      </c>
      <c r="B1636" t="s">
        <v>136</v>
      </c>
      <c r="C1636">
        <f t="shared" si="40"/>
        <v>25.010194444444444</v>
      </c>
      <c r="D1636" s="3">
        <f t="shared" si="41"/>
        <v>121.45866666666667</v>
      </c>
      <c r="E1636" t="s">
        <v>15</v>
      </c>
      <c r="F1636" t="s">
        <v>19</v>
      </c>
      <c r="G1636" t="s">
        <v>214</v>
      </c>
      <c r="I1636" t="s">
        <v>12</v>
      </c>
      <c r="J1636" t="s">
        <v>12</v>
      </c>
      <c r="K1636" t="s">
        <v>12</v>
      </c>
      <c r="L1636" t="s">
        <v>624</v>
      </c>
      <c r="M1636" t="s">
        <v>868</v>
      </c>
      <c r="O1636">
        <v>31</v>
      </c>
      <c r="FE1636">
        <v>1</v>
      </c>
    </row>
    <row r="1637" spans="1:173" x14ac:dyDescent="0.25">
      <c r="A1637" t="s">
        <v>618</v>
      </c>
      <c r="B1637" t="s">
        <v>136</v>
      </c>
      <c r="C1637">
        <f t="shared" si="40"/>
        <v>25.010194444444444</v>
      </c>
      <c r="D1637" s="3">
        <f t="shared" si="41"/>
        <v>121.45866666666667</v>
      </c>
      <c r="E1637" t="s">
        <v>15</v>
      </c>
      <c r="F1637" t="s">
        <v>19</v>
      </c>
      <c r="G1637" t="s">
        <v>214</v>
      </c>
      <c r="I1637" t="s">
        <v>12</v>
      </c>
      <c r="J1637" t="s">
        <v>12</v>
      </c>
      <c r="K1637" t="s">
        <v>12</v>
      </c>
      <c r="L1637" t="s">
        <v>624</v>
      </c>
      <c r="M1637" t="s">
        <v>868</v>
      </c>
      <c r="O1637">
        <v>47</v>
      </c>
      <c r="FF1637">
        <v>1</v>
      </c>
    </row>
    <row r="1638" spans="1:173" x14ac:dyDescent="0.25">
      <c r="A1638" t="s">
        <v>618</v>
      </c>
      <c r="B1638" t="s">
        <v>136</v>
      </c>
      <c r="C1638">
        <f t="shared" si="40"/>
        <v>25.010194444444444</v>
      </c>
      <c r="D1638" s="3">
        <f t="shared" si="41"/>
        <v>121.45866666666667</v>
      </c>
      <c r="E1638" t="s">
        <v>15</v>
      </c>
      <c r="F1638" t="s">
        <v>19</v>
      </c>
      <c r="G1638" t="s">
        <v>214</v>
      </c>
      <c r="I1638" t="s">
        <v>12</v>
      </c>
      <c r="J1638" t="s">
        <v>12</v>
      </c>
      <c r="K1638" t="s">
        <v>12</v>
      </c>
      <c r="L1638" t="s">
        <v>624</v>
      </c>
      <c r="M1638" t="s">
        <v>868</v>
      </c>
      <c r="O1638">
        <v>38</v>
      </c>
      <c r="FG1638">
        <v>1</v>
      </c>
    </row>
    <row r="1639" spans="1:173" x14ac:dyDescent="0.25">
      <c r="A1639" t="s">
        <v>618</v>
      </c>
      <c r="B1639" t="s">
        <v>136</v>
      </c>
      <c r="C1639">
        <f t="shared" si="40"/>
        <v>25.010194444444444</v>
      </c>
      <c r="D1639" s="3">
        <f t="shared" si="41"/>
        <v>121.45866666666667</v>
      </c>
      <c r="E1639" t="s">
        <v>15</v>
      </c>
      <c r="F1639" t="s">
        <v>19</v>
      </c>
      <c r="G1639" t="s">
        <v>214</v>
      </c>
      <c r="I1639" t="s">
        <v>12</v>
      </c>
      <c r="J1639" t="s">
        <v>12</v>
      </c>
      <c r="K1639" t="s">
        <v>12</v>
      </c>
      <c r="L1639" t="s">
        <v>624</v>
      </c>
      <c r="M1639" t="s">
        <v>868</v>
      </c>
      <c r="O1639">
        <v>38</v>
      </c>
      <c r="FH1639">
        <v>1</v>
      </c>
    </row>
    <row r="1640" spans="1:173" x14ac:dyDescent="0.25">
      <c r="A1640" t="s">
        <v>618</v>
      </c>
      <c r="B1640" t="s">
        <v>136</v>
      </c>
      <c r="C1640">
        <f t="shared" si="40"/>
        <v>25.010194444444444</v>
      </c>
      <c r="D1640" s="3">
        <f t="shared" si="41"/>
        <v>121.45866666666667</v>
      </c>
      <c r="E1640" t="s">
        <v>15</v>
      </c>
      <c r="F1640" t="s">
        <v>19</v>
      </c>
      <c r="G1640" t="s">
        <v>214</v>
      </c>
      <c r="I1640" t="s">
        <v>12</v>
      </c>
      <c r="J1640" t="s">
        <v>12</v>
      </c>
      <c r="K1640" t="s">
        <v>12</v>
      </c>
      <c r="L1640" t="s">
        <v>624</v>
      </c>
      <c r="M1640" t="s">
        <v>868</v>
      </c>
      <c r="O1640">
        <v>41</v>
      </c>
      <c r="FI1640">
        <v>1</v>
      </c>
    </row>
    <row r="1641" spans="1:173" x14ac:dyDescent="0.25">
      <c r="A1641" t="s">
        <v>618</v>
      </c>
      <c r="B1641" t="s">
        <v>136</v>
      </c>
      <c r="C1641">
        <f t="shared" si="40"/>
        <v>25.010194444444444</v>
      </c>
      <c r="D1641" s="3">
        <f t="shared" si="41"/>
        <v>121.45866666666667</v>
      </c>
      <c r="E1641" t="s">
        <v>15</v>
      </c>
      <c r="F1641" t="s">
        <v>19</v>
      </c>
      <c r="G1641" t="s">
        <v>214</v>
      </c>
      <c r="I1641" t="s">
        <v>12</v>
      </c>
      <c r="J1641" t="s">
        <v>12</v>
      </c>
      <c r="K1641" t="s">
        <v>12</v>
      </c>
      <c r="L1641" t="s">
        <v>624</v>
      </c>
      <c r="M1641" t="s">
        <v>868</v>
      </c>
      <c r="O1641">
        <v>27</v>
      </c>
      <c r="FJ1641">
        <v>1</v>
      </c>
    </row>
    <row r="1642" spans="1:173" x14ac:dyDescent="0.25">
      <c r="A1642" t="s">
        <v>618</v>
      </c>
      <c r="B1642" t="s">
        <v>136</v>
      </c>
      <c r="C1642">
        <f t="shared" si="40"/>
        <v>25.010194444444444</v>
      </c>
      <c r="D1642" s="3">
        <f t="shared" si="41"/>
        <v>121.45866666666667</v>
      </c>
      <c r="E1642" t="s">
        <v>15</v>
      </c>
      <c r="F1642" t="s">
        <v>19</v>
      </c>
      <c r="G1642" t="s">
        <v>214</v>
      </c>
      <c r="I1642" t="s">
        <v>12</v>
      </c>
      <c r="J1642" t="s">
        <v>12</v>
      </c>
      <c r="K1642" t="s">
        <v>12</v>
      </c>
      <c r="L1642" t="s">
        <v>624</v>
      </c>
      <c r="M1642" t="s">
        <v>868</v>
      </c>
      <c r="O1642">
        <v>31</v>
      </c>
      <c r="FK1642">
        <v>1</v>
      </c>
    </row>
    <row r="1643" spans="1:173" x14ac:dyDescent="0.25">
      <c r="A1643" t="s">
        <v>618</v>
      </c>
      <c r="B1643" t="s">
        <v>136</v>
      </c>
      <c r="C1643">
        <f t="shared" si="40"/>
        <v>25.010194444444444</v>
      </c>
      <c r="D1643" s="3">
        <f t="shared" si="41"/>
        <v>121.45866666666667</v>
      </c>
      <c r="E1643" t="s">
        <v>15</v>
      </c>
      <c r="F1643" t="s">
        <v>19</v>
      </c>
      <c r="G1643" t="s">
        <v>214</v>
      </c>
      <c r="I1643" t="s">
        <v>12</v>
      </c>
      <c r="J1643" t="s">
        <v>12</v>
      </c>
      <c r="K1643" t="s">
        <v>12</v>
      </c>
      <c r="L1643" t="s">
        <v>624</v>
      </c>
      <c r="M1643" t="s">
        <v>868</v>
      </c>
      <c r="O1643">
        <v>23</v>
      </c>
      <c r="FL1643">
        <v>1</v>
      </c>
    </row>
    <row r="1644" spans="1:173" x14ac:dyDescent="0.25">
      <c r="A1644" t="s">
        <v>618</v>
      </c>
      <c r="B1644" t="s">
        <v>136</v>
      </c>
      <c r="C1644">
        <f t="shared" si="40"/>
        <v>25.010194444444444</v>
      </c>
      <c r="D1644" s="3">
        <f t="shared" si="41"/>
        <v>121.45866666666667</v>
      </c>
      <c r="E1644" t="s">
        <v>15</v>
      </c>
      <c r="F1644" t="s">
        <v>19</v>
      </c>
      <c r="G1644" t="s">
        <v>214</v>
      </c>
      <c r="I1644" t="s">
        <v>12</v>
      </c>
      <c r="J1644" t="s">
        <v>12</v>
      </c>
      <c r="K1644" t="s">
        <v>12</v>
      </c>
      <c r="L1644" t="s">
        <v>624</v>
      </c>
      <c r="M1644" t="s">
        <v>868</v>
      </c>
      <c r="O1644">
        <v>26</v>
      </c>
      <c r="FM1644">
        <v>1</v>
      </c>
    </row>
    <row r="1645" spans="1:173" x14ac:dyDescent="0.25">
      <c r="A1645" t="s">
        <v>618</v>
      </c>
      <c r="B1645" t="s">
        <v>136</v>
      </c>
      <c r="C1645">
        <f t="shared" si="40"/>
        <v>25.010194444444444</v>
      </c>
      <c r="D1645" s="3">
        <f t="shared" si="41"/>
        <v>121.45866666666667</v>
      </c>
      <c r="E1645" t="s">
        <v>15</v>
      </c>
      <c r="F1645" t="s">
        <v>19</v>
      </c>
      <c r="G1645" t="s">
        <v>214</v>
      </c>
      <c r="I1645" t="s">
        <v>12</v>
      </c>
      <c r="J1645" t="s">
        <v>12</v>
      </c>
      <c r="K1645" t="s">
        <v>12</v>
      </c>
      <c r="L1645" t="s">
        <v>624</v>
      </c>
      <c r="M1645" t="s">
        <v>868</v>
      </c>
      <c r="O1645">
        <v>22</v>
      </c>
      <c r="FN1645">
        <v>1</v>
      </c>
    </row>
    <row r="1646" spans="1:173" x14ac:dyDescent="0.25">
      <c r="A1646" t="s">
        <v>618</v>
      </c>
      <c r="B1646" t="s">
        <v>136</v>
      </c>
      <c r="C1646">
        <f t="shared" si="40"/>
        <v>25.010194444444444</v>
      </c>
      <c r="D1646" s="3">
        <f t="shared" si="41"/>
        <v>121.45866666666667</v>
      </c>
      <c r="E1646" t="s">
        <v>15</v>
      </c>
      <c r="F1646" t="s">
        <v>19</v>
      </c>
      <c r="G1646" t="s">
        <v>214</v>
      </c>
      <c r="I1646" t="s">
        <v>12</v>
      </c>
      <c r="J1646" t="s">
        <v>12</v>
      </c>
      <c r="K1646" t="s">
        <v>12</v>
      </c>
      <c r="L1646" t="s">
        <v>624</v>
      </c>
      <c r="M1646" t="s">
        <v>868</v>
      </c>
      <c r="O1646">
        <v>23</v>
      </c>
      <c r="FO1646">
        <v>1</v>
      </c>
    </row>
    <row r="1647" spans="1:173" x14ac:dyDescent="0.25">
      <c r="A1647" t="s">
        <v>618</v>
      </c>
      <c r="B1647" t="s">
        <v>136</v>
      </c>
      <c r="C1647">
        <f t="shared" si="40"/>
        <v>25.010194444444444</v>
      </c>
      <c r="D1647" s="3">
        <f t="shared" si="41"/>
        <v>121.45866666666667</v>
      </c>
      <c r="E1647" t="s">
        <v>15</v>
      </c>
      <c r="F1647" t="s">
        <v>19</v>
      </c>
      <c r="G1647" t="s">
        <v>214</v>
      </c>
      <c r="I1647" t="s">
        <v>12</v>
      </c>
      <c r="J1647" t="s">
        <v>12</v>
      </c>
      <c r="K1647" t="s">
        <v>12</v>
      </c>
      <c r="L1647" t="s">
        <v>624</v>
      </c>
      <c r="M1647" t="s">
        <v>868</v>
      </c>
      <c r="O1647">
        <v>39</v>
      </c>
      <c r="FP1647">
        <v>1</v>
      </c>
    </row>
    <row r="1648" spans="1:173" x14ac:dyDescent="0.25">
      <c r="A1648" t="s">
        <v>618</v>
      </c>
      <c r="B1648" t="s">
        <v>136</v>
      </c>
      <c r="C1648">
        <f t="shared" si="40"/>
        <v>25.010194444444444</v>
      </c>
      <c r="D1648" s="3">
        <f t="shared" si="41"/>
        <v>121.45866666666667</v>
      </c>
      <c r="E1648" t="s">
        <v>15</v>
      </c>
      <c r="F1648" t="s">
        <v>19</v>
      </c>
      <c r="G1648" t="s">
        <v>214</v>
      </c>
      <c r="I1648" t="s">
        <v>12</v>
      </c>
      <c r="J1648" t="s">
        <v>12</v>
      </c>
      <c r="K1648" t="s">
        <v>12</v>
      </c>
      <c r="L1648" t="s">
        <v>624</v>
      </c>
      <c r="M1648" t="s">
        <v>868</v>
      </c>
      <c r="O1648">
        <v>31</v>
      </c>
      <c r="FQ1648">
        <v>1</v>
      </c>
    </row>
    <row r="1649" spans="1:184" x14ac:dyDescent="0.25">
      <c r="A1649" t="s">
        <v>618</v>
      </c>
      <c r="B1649" t="s">
        <v>136</v>
      </c>
      <c r="C1649">
        <f t="shared" si="40"/>
        <v>25.010194444444444</v>
      </c>
      <c r="D1649" s="3">
        <f t="shared" si="41"/>
        <v>121.45866666666667</v>
      </c>
      <c r="E1649" t="s">
        <v>15</v>
      </c>
      <c r="F1649" t="s">
        <v>19</v>
      </c>
      <c r="G1649" t="s">
        <v>214</v>
      </c>
      <c r="I1649" t="s">
        <v>12</v>
      </c>
      <c r="J1649" t="s">
        <v>12</v>
      </c>
      <c r="K1649" t="s">
        <v>12</v>
      </c>
      <c r="L1649" t="s">
        <v>624</v>
      </c>
      <c r="M1649" t="s">
        <v>868</v>
      </c>
      <c r="O1649">
        <v>32</v>
      </c>
      <c r="FR1649">
        <v>1</v>
      </c>
    </row>
    <row r="1650" spans="1:184" x14ac:dyDescent="0.25">
      <c r="A1650" t="s">
        <v>618</v>
      </c>
      <c r="B1650" t="s">
        <v>136</v>
      </c>
      <c r="C1650">
        <f t="shared" si="40"/>
        <v>25.010194444444444</v>
      </c>
      <c r="D1650" s="3">
        <f t="shared" si="41"/>
        <v>121.45866666666667</v>
      </c>
      <c r="E1650" t="s">
        <v>15</v>
      </c>
      <c r="F1650" t="s">
        <v>19</v>
      </c>
      <c r="G1650" t="s">
        <v>214</v>
      </c>
      <c r="I1650" t="s">
        <v>12</v>
      </c>
      <c r="J1650" t="s">
        <v>12</v>
      </c>
      <c r="K1650" t="s">
        <v>12</v>
      </c>
      <c r="L1650" t="s">
        <v>624</v>
      </c>
      <c r="M1650" t="s">
        <v>868</v>
      </c>
      <c r="O1650">
        <v>42</v>
      </c>
      <c r="FS1650">
        <v>1</v>
      </c>
    </row>
    <row r="1651" spans="1:184" x14ac:dyDescent="0.25">
      <c r="A1651" t="s">
        <v>618</v>
      </c>
      <c r="B1651" t="s">
        <v>136</v>
      </c>
      <c r="C1651">
        <f t="shared" si="40"/>
        <v>25.010194444444444</v>
      </c>
      <c r="D1651" s="3">
        <f t="shared" si="41"/>
        <v>121.45866666666667</v>
      </c>
      <c r="E1651" t="s">
        <v>15</v>
      </c>
      <c r="F1651" t="s">
        <v>19</v>
      </c>
      <c r="G1651" t="s">
        <v>214</v>
      </c>
      <c r="I1651" t="s">
        <v>12</v>
      </c>
      <c r="J1651" t="s">
        <v>12</v>
      </c>
      <c r="K1651" t="s">
        <v>12</v>
      </c>
      <c r="L1651" t="s">
        <v>624</v>
      </c>
      <c r="M1651" t="s">
        <v>868</v>
      </c>
      <c r="O1651">
        <v>35</v>
      </c>
      <c r="FT1651">
        <v>1</v>
      </c>
    </row>
    <row r="1652" spans="1:184" x14ac:dyDescent="0.25">
      <c r="A1652" t="s">
        <v>618</v>
      </c>
      <c r="B1652" t="s">
        <v>136</v>
      </c>
      <c r="C1652">
        <f t="shared" si="40"/>
        <v>25.010194444444444</v>
      </c>
      <c r="D1652" s="3">
        <f t="shared" si="41"/>
        <v>121.45866666666667</v>
      </c>
      <c r="E1652" t="s">
        <v>15</v>
      </c>
      <c r="F1652" t="s">
        <v>19</v>
      </c>
      <c r="G1652" t="s">
        <v>214</v>
      </c>
      <c r="I1652" t="s">
        <v>12</v>
      </c>
      <c r="J1652" t="s">
        <v>12</v>
      </c>
      <c r="K1652" t="s">
        <v>12</v>
      </c>
      <c r="L1652" t="s">
        <v>624</v>
      </c>
      <c r="M1652" t="s">
        <v>868</v>
      </c>
      <c r="O1652">
        <v>28</v>
      </c>
      <c r="FU1652">
        <v>1</v>
      </c>
    </row>
    <row r="1653" spans="1:184" x14ac:dyDescent="0.25">
      <c r="A1653" t="s">
        <v>618</v>
      </c>
      <c r="B1653" t="s">
        <v>136</v>
      </c>
      <c r="C1653">
        <f t="shared" si="40"/>
        <v>25.010194444444444</v>
      </c>
      <c r="D1653" s="3">
        <f t="shared" si="41"/>
        <v>121.45866666666667</v>
      </c>
      <c r="E1653" t="s">
        <v>15</v>
      </c>
      <c r="F1653" t="s">
        <v>19</v>
      </c>
      <c r="G1653" t="s">
        <v>214</v>
      </c>
      <c r="I1653" t="s">
        <v>12</v>
      </c>
      <c r="J1653" t="s">
        <v>12</v>
      </c>
      <c r="K1653" t="s">
        <v>12</v>
      </c>
      <c r="L1653" t="s">
        <v>624</v>
      </c>
      <c r="M1653" t="s">
        <v>868</v>
      </c>
      <c r="O1653">
        <v>24</v>
      </c>
      <c r="FV1653">
        <v>1</v>
      </c>
    </row>
    <row r="1654" spans="1:184" x14ac:dyDescent="0.25">
      <c r="A1654" t="s">
        <v>618</v>
      </c>
      <c r="B1654" t="s">
        <v>136</v>
      </c>
      <c r="C1654">
        <f t="shared" si="40"/>
        <v>25.010194444444444</v>
      </c>
      <c r="D1654" s="3">
        <f t="shared" si="41"/>
        <v>121.45866666666667</v>
      </c>
      <c r="E1654" t="s">
        <v>15</v>
      </c>
      <c r="F1654" t="s">
        <v>19</v>
      </c>
      <c r="G1654" t="s">
        <v>214</v>
      </c>
      <c r="I1654" t="s">
        <v>12</v>
      </c>
      <c r="J1654" t="s">
        <v>12</v>
      </c>
      <c r="K1654" t="s">
        <v>12</v>
      </c>
      <c r="L1654" t="s">
        <v>624</v>
      </c>
      <c r="M1654" t="s">
        <v>868</v>
      </c>
      <c r="O1654">
        <v>21</v>
      </c>
      <c r="FW1654">
        <v>1</v>
      </c>
    </row>
    <row r="1655" spans="1:184" x14ac:dyDescent="0.25">
      <c r="A1655" t="s">
        <v>618</v>
      </c>
      <c r="B1655" t="s">
        <v>136</v>
      </c>
      <c r="C1655">
        <f t="shared" si="40"/>
        <v>25.010194444444444</v>
      </c>
      <c r="D1655" s="3">
        <f t="shared" si="41"/>
        <v>121.45866666666667</v>
      </c>
      <c r="E1655" t="s">
        <v>15</v>
      </c>
      <c r="F1655" t="s">
        <v>19</v>
      </c>
      <c r="G1655" t="s">
        <v>214</v>
      </c>
      <c r="I1655" t="s">
        <v>12</v>
      </c>
      <c r="J1655" t="s">
        <v>12</v>
      </c>
      <c r="K1655" t="s">
        <v>12</v>
      </c>
      <c r="L1655" t="s">
        <v>624</v>
      </c>
      <c r="M1655" t="s">
        <v>868</v>
      </c>
      <c r="O1655">
        <v>26</v>
      </c>
      <c r="FX1655">
        <v>1</v>
      </c>
    </row>
    <row r="1656" spans="1:184" x14ac:dyDescent="0.25">
      <c r="A1656" t="s">
        <v>618</v>
      </c>
      <c r="B1656" t="s">
        <v>136</v>
      </c>
      <c r="C1656">
        <f t="shared" si="40"/>
        <v>25.010194444444444</v>
      </c>
      <c r="D1656" s="3">
        <f t="shared" si="41"/>
        <v>121.45866666666667</v>
      </c>
      <c r="E1656" t="s">
        <v>15</v>
      </c>
      <c r="F1656" t="s">
        <v>19</v>
      </c>
      <c r="G1656" t="s">
        <v>214</v>
      </c>
      <c r="I1656" t="s">
        <v>12</v>
      </c>
      <c r="J1656" t="s">
        <v>12</v>
      </c>
      <c r="K1656" t="s">
        <v>12</v>
      </c>
      <c r="L1656" t="s">
        <v>624</v>
      </c>
      <c r="M1656" t="s">
        <v>868</v>
      </c>
      <c r="O1656">
        <v>25</v>
      </c>
      <c r="FY1656">
        <v>1</v>
      </c>
    </row>
    <row r="1657" spans="1:184" x14ac:dyDescent="0.25">
      <c r="A1657" t="s">
        <v>618</v>
      </c>
      <c r="B1657" t="s">
        <v>136</v>
      </c>
      <c r="C1657">
        <f t="shared" si="40"/>
        <v>25.010194444444444</v>
      </c>
      <c r="D1657" s="3">
        <f t="shared" si="41"/>
        <v>121.45866666666667</v>
      </c>
      <c r="E1657" t="s">
        <v>15</v>
      </c>
      <c r="F1657" t="s">
        <v>19</v>
      </c>
      <c r="G1657" t="s">
        <v>214</v>
      </c>
      <c r="I1657" t="s">
        <v>12</v>
      </c>
      <c r="J1657" t="s">
        <v>12</v>
      </c>
      <c r="K1657" t="s">
        <v>12</v>
      </c>
      <c r="L1657" t="s">
        <v>624</v>
      </c>
      <c r="M1657" t="s">
        <v>868</v>
      </c>
      <c r="O1657">
        <v>28</v>
      </c>
      <c r="FZ1657">
        <v>1</v>
      </c>
    </row>
    <row r="1658" spans="1:184" x14ac:dyDescent="0.25">
      <c r="A1658" t="s">
        <v>618</v>
      </c>
      <c r="B1658" t="s">
        <v>136</v>
      </c>
      <c r="C1658">
        <f t="shared" si="40"/>
        <v>25.010194444444444</v>
      </c>
      <c r="D1658" s="3">
        <f t="shared" si="41"/>
        <v>121.45866666666667</v>
      </c>
      <c r="E1658" t="s">
        <v>15</v>
      </c>
      <c r="F1658" t="s">
        <v>19</v>
      </c>
      <c r="G1658" t="s">
        <v>214</v>
      </c>
      <c r="I1658" t="s">
        <v>12</v>
      </c>
      <c r="J1658" t="s">
        <v>12</v>
      </c>
      <c r="K1658" t="s">
        <v>12</v>
      </c>
      <c r="L1658" t="s">
        <v>624</v>
      </c>
      <c r="M1658" t="s">
        <v>868</v>
      </c>
      <c r="O1658">
        <v>25</v>
      </c>
      <c r="GA1658">
        <v>1</v>
      </c>
    </row>
    <row r="1659" spans="1:184" x14ac:dyDescent="0.25">
      <c r="A1659" t="s">
        <v>618</v>
      </c>
      <c r="B1659" t="s">
        <v>136</v>
      </c>
      <c r="C1659">
        <f t="shared" si="40"/>
        <v>25.010194444444444</v>
      </c>
      <c r="D1659" s="3">
        <f t="shared" si="41"/>
        <v>121.45866666666667</v>
      </c>
      <c r="E1659" t="s">
        <v>15</v>
      </c>
      <c r="F1659" t="s">
        <v>19</v>
      </c>
      <c r="G1659" t="s">
        <v>214</v>
      </c>
      <c r="I1659" t="s">
        <v>12</v>
      </c>
      <c r="J1659" t="s">
        <v>12</v>
      </c>
      <c r="K1659" t="s">
        <v>12</v>
      </c>
      <c r="L1659" t="s">
        <v>624</v>
      </c>
      <c r="M1659" t="s">
        <v>868</v>
      </c>
      <c r="O1659">
        <v>31</v>
      </c>
      <c r="GB1659">
        <v>1</v>
      </c>
    </row>
    <row r="1660" spans="1:184" x14ac:dyDescent="0.25">
      <c r="A1660" t="s">
        <v>737</v>
      </c>
      <c r="B1660" t="s">
        <v>136</v>
      </c>
      <c r="C1660" s="3">
        <v>25.28</v>
      </c>
      <c r="D1660" s="3">
        <v>121.55</v>
      </c>
      <c r="E1660" t="s">
        <v>12</v>
      </c>
      <c r="F1660" t="s">
        <v>20</v>
      </c>
      <c r="G1660" t="s">
        <v>97</v>
      </c>
      <c r="I1660" t="s">
        <v>15</v>
      </c>
      <c r="J1660" t="s">
        <v>12</v>
      </c>
      <c r="K1660" t="s">
        <v>12</v>
      </c>
      <c r="L1660" t="s">
        <v>776</v>
      </c>
      <c r="M1660" t="s">
        <v>834</v>
      </c>
      <c r="O1660">
        <v>29.2</v>
      </c>
      <c r="P1660">
        <v>1.7</v>
      </c>
      <c r="DI1660">
        <v>1</v>
      </c>
      <c r="DJ1660">
        <v>1</v>
      </c>
      <c r="DK1660">
        <v>1</v>
      </c>
      <c r="DL1660">
        <v>1</v>
      </c>
      <c r="DM1660">
        <v>1</v>
      </c>
      <c r="DN1660">
        <v>1</v>
      </c>
      <c r="DO1660">
        <v>1</v>
      </c>
      <c r="DP1660">
        <v>1</v>
      </c>
      <c r="DQ1660">
        <v>1</v>
      </c>
      <c r="DR1660">
        <v>1</v>
      </c>
      <c r="DS1660">
        <v>1</v>
      </c>
      <c r="DT1660">
        <v>1</v>
      </c>
    </row>
    <row r="1661" spans="1:184" x14ac:dyDescent="0.25">
      <c r="A1661" t="s">
        <v>737</v>
      </c>
      <c r="B1661" t="s">
        <v>136</v>
      </c>
      <c r="C1661" s="3">
        <v>25.28</v>
      </c>
      <c r="D1661" s="3">
        <v>121.55</v>
      </c>
      <c r="E1661" t="s">
        <v>12</v>
      </c>
      <c r="F1661" t="s">
        <v>20</v>
      </c>
      <c r="G1661" t="s">
        <v>97</v>
      </c>
      <c r="I1661" t="s">
        <v>15</v>
      </c>
      <c r="J1661" t="s">
        <v>12</v>
      </c>
      <c r="K1661" t="s">
        <v>12</v>
      </c>
      <c r="L1661" t="s">
        <v>776</v>
      </c>
      <c r="M1661" t="s">
        <v>834</v>
      </c>
      <c r="O1661">
        <v>29.6</v>
      </c>
      <c r="P1661">
        <v>2.1</v>
      </c>
      <c r="DU1661">
        <v>1</v>
      </c>
      <c r="DV1661">
        <v>1</v>
      </c>
      <c r="DW1661">
        <v>1</v>
      </c>
      <c r="DX1661">
        <v>1</v>
      </c>
      <c r="DY1661">
        <v>1</v>
      </c>
      <c r="DZ1661">
        <v>1</v>
      </c>
      <c r="EA1661">
        <v>1</v>
      </c>
      <c r="EB1661">
        <v>1</v>
      </c>
      <c r="EC1661">
        <v>1</v>
      </c>
      <c r="ED1661">
        <v>1</v>
      </c>
      <c r="EE1661">
        <v>1</v>
      </c>
      <c r="EF1661">
        <v>1</v>
      </c>
    </row>
    <row r="1662" spans="1:184" x14ac:dyDescent="0.25">
      <c r="A1662" t="s">
        <v>737</v>
      </c>
      <c r="B1662" t="s">
        <v>136</v>
      </c>
      <c r="C1662" s="3">
        <v>25.28</v>
      </c>
      <c r="D1662" s="3">
        <v>121.55</v>
      </c>
      <c r="E1662" t="s">
        <v>12</v>
      </c>
      <c r="F1662" t="s">
        <v>20</v>
      </c>
      <c r="G1662" t="s">
        <v>97</v>
      </c>
      <c r="I1662" t="s">
        <v>15</v>
      </c>
      <c r="J1662" t="s">
        <v>12</v>
      </c>
      <c r="K1662" t="s">
        <v>12</v>
      </c>
      <c r="L1662" t="s">
        <v>776</v>
      </c>
      <c r="M1662" t="s">
        <v>834</v>
      </c>
      <c r="O1662">
        <v>31.7</v>
      </c>
      <c r="P1662">
        <v>2.6</v>
      </c>
      <c r="EG1662">
        <v>1</v>
      </c>
      <c r="EH1662">
        <v>1</v>
      </c>
      <c r="EI1662">
        <v>1</v>
      </c>
      <c r="EJ1662">
        <v>1</v>
      </c>
      <c r="EK1662">
        <v>1</v>
      </c>
      <c r="EL1662">
        <v>1</v>
      </c>
      <c r="EM1662">
        <v>1</v>
      </c>
      <c r="EN1662">
        <v>1</v>
      </c>
      <c r="EO1662">
        <v>1</v>
      </c>
      <c r="EP1662">
        <v>1</v>
      </c>
      <c r="EQ1662">
        <v>1</v>
      </c>
      <c r="ER1662">
        <v>1</v>
      </c>
    </row>
    <row r="1663" spans="1:184" x14ac:dyDescent="0.25">
      <c r="A1663" t="s">
        <v>737</v>
      </c>
      <c r="B1663" t="s">
        <v>136</v>
      </c>
      <c r="C1663" s="3">
        <v>25.28</v>
      </c>
      <c r="D1663" s="3">
        <v>121.55</v>
      </c>
      <c r="E1663" t="s">
        <v>12</v>
      </c>
      <c r="F1663" t="s">
        <v>20</v>
      </c>
      <c r="G1663" t="s">
        <v>97</v>
      </c>
      <c r="I1663" t="s">
        <v>15</v>
      </c>
      <c r="J1663" t="s">
        <v>12</v>
      </c>
      <c r="K1663" t="s">
        <v>12</v>
      </c>
      <c r="L1663" t="s">
        <v>776</v>
      </c>
      <c r="M1663" t="s">
        <v>834</v>
      </c>
      <c r="O1663">
        <v>23.7</v>
      </c>
      <c r="P1663">
        <v>1.9</v>
      </c>
      <c r="ES1663">
        <v>1</v>
      </c>
      <c r="ET1663">
        <v>1</v>
      </c>
      <c r="EU1663">
        <v>1</v>
      </c>
      <c r="EV1663">
        <v>1</v>
      </c>
      <c r="EW1663">
        <v>1</v>
      </c>
      <c r="EX1663">
        <v>1</v>
      </c>
      <c r="EY1663">
        <v>1</v>
      </c>
      <c r="EZ1663">
        <v>1</v>
      </c>
      <c r="FA1663">
        <v>1</v>
      </c>
      <c r="FB1663">
        <v>1</v>
      </c>
      <c r="FC1663">
        <v>1</v>
      </c>
      <c r="FD1663">
        <v>1</v>
      </c>
    </row>
    <row r="1664" spans="1:184" x14ac:dyDescent="0.25">
      <c r="A1664" t="s">
        <v>737</v>
      </c>
      <c r="B1664" t="s">
        <v>136</v>
      </c>
      <c r="C1664" s="3">
        <v>25.28</v>
      </c>
      <c r="D1664" s="3">
        <v>121.55</v>
      </c>
      <c r="E1664" t="s">
        <v>12</v>
      </c>
      <c r="F1664" t="s">
        <v>20</v>
      </c>
      <c r="G1664" t="s">
        <v>97</v>
      </c>
      <c r="I1664" t="s">
        <v>15</v>
      </c>
      <c r="J1664" t="s">
        <v>12</v>
      </c>
      <c r="K1664" t="s">
        <v>12</v>
      </c>
      <c r="L1664" t="s">
        <v>776</v>
      </c>
      <c r="M1664" t="s">
        <v>834</v>
      </c>
      <c r="O1664">
        <v>26.2</v>
      </c>
      <c r="P1664">
        <v>1.9</v>
      </c>
      <c r="FE1664">
        <v>1</v>
      </c>
      <c r="FF1664">
        <v>1</v>
      </c>
      <c r="FG1664">
        <v>1</v>
      </c>
      <c r="FH1664">
        <v>1</v>
      </c>
      <c r="FI1664">
        <v>1</v>
      </c>
      <c r="FJ1664">
        <v>1</v>
      </c>
      <c r="FK1664">
        <v>1</v>
      </c>
      <c r="FL1664">
        <v>1</v>
      </c>
      <c r="FM1664">
        <v>1</v>
      </c>
      <c r="FN1664">
        <v>1</v>
      </c>
      <c r="FO1664">
        <v>1</v>
      </c>
      <c r="FP1664">
        <v>1</v>
      </c>
    </row>
    <row r="1665" spans="1:167" x14ac:dyDescent="0.25">
      <c r="A1665" t="s">
        <v>458</v>
      </c>
      <c r="B1665" t="s">
        <v>136</v>
      </c>
      <c r="C1665" s="3">
        <v>23.94</v>
      </c>
      <c r="D1665" s="3">
        <v>120.51</v>
      </c>
      <c r="E1665" t="s">
        <v>12</v>
      </c>
      <c r="F1665" t="s">
        <v>77</v>
      </c>
      <c r="G1665" t="s">
        <v>106</v>
      </c>
      <c r="H1665">
        <v>40</v>
      </c>
      <c r="I1665" t="s">
        <v>15</v>
      </c>
      <c r="J1665" t="s">
        <v>12</v>
      </c>
      <c r="K1665" t="s">
        <v>12</v>
      </c>
      <c r="L1665" t="s">
        <v>463</v>
      </c>
      <c r="M1665" t="s">
        <v>970</v>
      </c>
      <c r="O1665">
        <v>56</v>
      </c>
      <c r="P1665">
        <v>24</v>
      </c>
      <c r="BX1665">
        <v>0.25</v>
      </c>
      <c r="CA1665">
        <v>0.25</v>
      </c>
    </row>
    <row r="1666" spans="1:167" x14ac:dyDescent="0.25">
      <c r="A1666" t="s">
        <v>727</v>
      </c>
      <c r="B1666" t="s">
        <v>136</v>
      </c>
      <c r="C1666" s="3">
        <v>22.55</v>
      </c>
      <c r="D1666" s="3">
        <v>120.53</v>
      </c>
      <c r="E1666" t="s">
        <v>12</v>
      </c>
      <c r="F1666" t="s">
        <v>20</v>
      </c>
      <c r="G1666" t="s">
        <v>728</v>
      </c>
      <c r="I1666" t="s">
        <v>12</v>
      </c>
      <c r="J1666" t="s">
        <v>15</v>
      </c>
      <c r="K1666" t="s">
        <v>15</v>
      </c>
      <c r="L1666" t="s">
        <v>767</v>
      </c>
      <c r="M1666" t="s">
        <v>826</v>
      </c>
      <c r="N1666" t="s">
        <v>782</v>
      </c>
      <c r="O1666">
        <v>70.900000000000006</v>
      </c>
      <c r="P1666">
        <v>19.912307751739878</v>
      </c>
      <c r="CA1666">
        <v>1</v>
      </c>
      <c r="CN1666">
        <v>1</v>
      </c>
    </row>
    <row r="1667" spans="1:167" x14ac:dyDescent="0.25">
      <c r="A1667" t="s">
        <v>469</v>
      </c>
      <c r="B1667" t="s">
        <v>136</v>
      </c>
      <c r="C1667" s="3">
        <v>22.606000000000002</v>
      </c>
      <c r="D1667" s="3">
        <v>120.301</v>
      </c>
      <c r="E1667" t="s">
        <v>15</v>
      </c>
      <c r="F1667" t="s">
        <v>34</v>
      </c>
      <c r="G1667" t="s">
        <v>60</v>
      </c>
      <c r="I1667" t="s">
        <v>15</v>
      </c>
      <c r="J1667" t="s">
        <v>15</v>
      </c>
      <c r="K1667" t="s">
        <v>12</v>
      </c>
      <c r="L1667" t="s">
        <v>466</v>
      </c>
      <c r="M1667" t="s">
        <v>968</v>
      </c>
      <c r="O1667">
        <v>34.6</v>
      </c>
      <c r="EV1667">
        <v>1</v>
      </c>
      <c r="EW1667">
        <v>1</v>
      </c>
      <c r="EX1667">
        <v>1</v>
      </c>
      <c r="EY1667">
        <v>1</v>
      </c>
      <c r="EZ1667">
        <v>1</v>
      </c>
      <c r="FA1667">
        <v>1</v>
      </c>
      <c r="FB1667">
        <v>1</v>
      </c>
      <c r="FC1667">
        <v>1</v>
      </c>
      <c r="FD1667">
        <v>1</v>
      </c>
      <c r="FE1667">
        <v>1</v>
      </c>
      <c r="FF1667">
        <v>1</v>
      </c>
      <c r="FG1667">
        <v>1</v>
      </c>
    </row>
    <row r="1668" spans="1:167" x14ac:dyDescent="0.25">
      <c r="A1668" t="s">
        <v>468</v>
      </c>
      <c r="B1668" t="s">
        <v>136</v>
      </c>
      <c r="C1668" s="3">
        <v>22.759</v>
      </c>
      <c r="D1668" s="3">
        <v>120.298</v>
      </c>
      <c r="E1668" t="s">
        <v>15</v>
      </c>
      <c r="F1668" t="s">
        <v>19</v>
      </c>
      <c r="G1668" t="s">
        <v>60</v>
      </c>
      <c r="I1668" t="s">
        <v>15</v>
      </c>
      <c r="J1668" t="s">
        <v>15</v>
      </c>
      <c r="K1668" t="s">
        <v>12</v>
      </c>
      <c r="L1668" t="s">
        <v>466</v>
      </c>
      <c r="M1668" t="s">
        <v>968</v>
      </c>
      <c r="O1668">
        <v>32.6</v>
      </c>
      <c r="EV1668">
        <v>1</v>
      </c>
      <c r="EW1668">
        <v>1</v>
      </c>
      <c r="EX1668">
        <v>1</v>
      </c>
      <c r="EY1668">
        <v>1</v>
      </c>
      <c r="EZ1668">
        <v>1</v>
      </c>
      <c r="FA1668">
        <v>1</v>
      </c>
      <c r="FB1668">
        <v>1</v>
      </c>
      <c r="FC1668">
        <v>1</v>
      </c>
      <c r="FD1668">
        <v>1</v>
      </c>
      <c r="FE1668">
        <v>1</v>
      </c>
      <c r="FF1668">
        <v>1</v>
      </c>
      <c r="FG1668">
        <v>1</v>
      </c>
    </row>
    <row r="1669" spans="1:167" x14ac:dyDescent="0.25">
      <c r="A1669" t="s">
        <v>470</v>
      </c>
      <c r="B1669" t="s">
        <v>136</v>
      </c>
      <c r="C1669" s="3">
        <v>22.513000000000002</v>
      </c>
      <c r="D1669" s="3">
        <v>120.529</v>
      </c>
      <c r="E1669" t="s">
        <v>15</v>
      </c>
      <c r="F1669" t="s">
        <v>19</v>
      </c>
      <c r="G1669" t="s">
        <v>60</v>
      </c>
      <c r="I1669" t="s">
        <v>15</v>
      </c>
      <c r="J1669" t="s">
        <v>15</v>
      </c>
      <c r="K1669" t="s">
        <v>12</v>
      </c>
      <c r="L1669" t="s">
        <v>466</v>
      </c>
      <c r="M1669" t="s">
        <v>968</v>
      </c>
      <c r="O1669">
        <v>31.7</v>
      </c>
      <c r="EV1669">
        <v>1</v>
      </c>
      <c r="EW1669">
        <v>1</v>
      </c>
      <c r="EX1669">
        <v>1</v>
      </c>
      <c r="EY1669">
        <v>1</v>
      </c>
      <c r="EZ1669">
        <v>1</v>
      </c>
      <c r="FA1669">
        <v>1</v>
      </c>
      <c r="FB1669">
        <v>1</v>
      </c>
      <c r="FC1669">
        <v>1</v>
      </c>
      <c r="FD1669">
        <v>1</v>
      </c>
      <c r="FE1669">
        <v>1</v>
      </c>
      <c r="FF1669">
        <v>1</v>
      </c>
      <c r="FG1669">
        <v>1</v>
      </c>
    </row>
    <row r="1670" spans="1:167" x14ac:dyDescent="0.25">
      <c r="A1670" t="s">
        <v>197</v>
      </c>
      <c r="B1670" t="s">
        <v>136</v>
      </c>
      <c r="C1670" s="3">
        <v>22.57</v>
      </c>
      <c r="D1670" s="3">
        <v>120.39</v>
      </c>
      <c r="E1670" t="s">
        <v>12</v>
      </c>
      <c r="F1670" t="s">
        <v>22</v>
      </c>
      <c r="G1670" t="s">
        <v>76</v>
      </c>
      <c r="I1670" t="s">
        <v>15</v>
      </c>
      <c r="J1670" t="s">
        <v>12</v>
      </c>
      <c r="K1670" t="s">
        <v>12</v>
      </c>
      <c r="L1670" t="s">
        <v>1081</v>
      </c>
      <c r="M1670" t="s">
        <v>1080</v>
      </c>
      <c r="O1670">
        <v>72.5</v>
      </c>
      <c r="P1670">
        <v>16.5</v>
      </c>
      <c r="DH1670">
        <v>0.5</v>
      </c>
      <c r="DI1670">
        <v>0.5</v>
      </c>
    </row>
    <row r="1671" spans="1:167" x14ac:dyDescent="0.25">
      <c r="A1671" t="s">
        <v>197</v>
      </c>
      <c r="B1671" t="s">
        <v>136</v>
      </c>
      <c r="C1671" s="3">
        <v>22.57</v>
      </c>
      <c r="D1671" s="3">
        <v>120.39</v>
      </c>
      <c r="E1671" t="s">
        <v>12</v>
      </c>
      <c r="F1671" t="s">
        <v>8</v>
      </c>
      <c r="G1671" t="s">
        <v>97</v>
      </c>
      <c r="H1671">
        <v>40</v>
      </c>
      <c r="I1671" t="s">
        <v>12</v>
      </c>
      <c r="J1671" t="s">
        <v>15</v>
      </c>
      <c r="K1671" t="s">
        <v>15</v>
      </c>
      <c r="L1671" t="s">
        <v>201</v>
      </c>
      <c r="M1671" t="s">
        <v>1082</v>
      </c>
      <c r="N1671" t="s">
        <v>200</v>
      </c>
      <c r="O1671">
        <f>(30*AVERAGE(81,107)+15*AVERAGE(57,58))/45</f>
        <v>81.833333333333329</v>
      </c>
      <c r="P1671">
        <f>(30*AVERAGE(20,20)+15*AVERAGE(18,11))/45</f>
        <v>18.166666666666668</v>
      </c>
      <c r="ES1671">
        <v>1</v>
      </c>
      <c r="EU1671">
        <v>1</v>
      </c>
      <c r="FD1671">
        <v>1</v>
      </c>
    </row>
    <row r="1672" spans="1:167" x14ac:dyDescent="0.25">
      <c r="A1672" t="s">
        <v>197</v>
      </c>
      <c r="B1672" t="s">
        <v>136</v>
      </c>
      <c r="C1672" s="3">
        <v>22.57</v>
      </c>
      <c r="D1672" s="3">
        <v>120.39</v>
      </c>
      <c r="E1672" t="s">
        <v>12</v>
      </c>
      <c r="F1672" t="s">
        <v>8</v>
      </c>
      <c r="G1672" t="s">
        <v>97</v>
      </c>
      <c r="H1672">
        <v>40</v>
      </c>
      <c r="I1672" t="s">
        <v>12</v>
      </c>
      <c r="J1672" t="s">
        <v>15</v>
      </c>
      <c r="K1672" t="s">
        <v>15</v>
      </c>
      <c r="L1672" t="s">
        <v>201</v>
      </c>
      <c r="M1672" t="s">
        <v>1082</v>
      </c>
      <c r="N1672" t="s">
        <v>200</v>
      </c>
      <c r="O1672">
        <f>AVERAGE(19,24)</f>
        <v>21.5</v>
      </c>
      <c r="P1672">
        <f>AVERAGE(14,17)</f>
        <v>15.5</v>
      </c>
      <c r="EZ1672">
        <v>1</v>
      </c>
      <c r="FK1672">
        <v>1</v>
      </c>
    </row>
    <row r="1673" spans="1:167" x14ac:dyDescent="0.25">
      <c r="A1673" t="s">
        <v>197</v>
      </c>
      <c r="B1673" t="s">
        <v>136</v>
      </c>
      <c r="C1673" s="3">
        <v>22.57</v>
      </c>
      <c r="D1673" s="3">
        <v>120.39</v>
      </c>
      <c r="E1673" t="s">
        <v>12</v>
      </c>
      <c r="F1673" t="s">
        <v>22</v>
      </c>
      <c r="G1673" t="s">
        <v>76</v>
      </c>
      <c r="H1673">
        <v>40</v>
      </c>
      <c r="I1673" t="s">
        <v>12</v>
      </c>
      <c r="J1673" t="s">
        <v>15</v>
      </c>
      <c r="K1673" t="s">
        <v>15</v>
      </c>
      <c r="L1673" t="s">
        <v>199</v>
      </c>
      <c r="M1673" t="s">
        <v>1083</v>
      </c>
      <c r="O1673">
        <f>(8*40+52*57+18*95)/SUM(8,52,18)</f>
        <v>64.025641025641022</v>
      </c>
      <c r="P1673">
        <f>(8*26+52*21+18*19)/SUM(8,52,18)</f>
        <v>21.051282051282051</v>
      </c>
      <c r="ED1673">
        <v>0.5</v>
      </c>
      <c r="EE1673">
        <v>0.5</v>
      </c>
      <c r="EG1673">
        <v>0.5</v>
      </c>
      <c r="EH1673">
        <v>0.5</v>
      </c>
      <c r="EL1673">
        <v>0.5</v>
      </c>
      <c r="ES1673">
        <v>0.5</v>
      </c>
    </row>
    <row r="1674" spans="1:167" x14ac:dyDescent="0.25">
      <c r="A1674" t="s">
        <v>621</v>
      </c>
      <c r="B1674" t="s">
        <v>136</v>
      </c>
      <c r="C1674" s="3">
        <f t="shared" ref="C1674:C1709" si="42">23+55/60+30.6/3600</f>
        <v>23.925166666666669</v>
      </c>
      <c r="D1674" s="3">
        <f t="shared" ref="D1674:D1709" si="43">120+24/60+34.8/3600</f>
        <v>120.40966666666667</v>
      </c>
      <c r="E1674" t="s">
        <v>15</v>
      </c>
      <c r="F1674" t="s">
        <v>20</v>
      </c>
      <c r="G1674" t="s">
        <v>214</v>
      </c>
      <c r="I1674" t="s">
        <v>12</v>
      </c>
      <c r="J1674" t="s">
        <v>12</v>
      </c>
      <c r="K1674" t="s">
        <v>12</v>
      </c>
      <c r="L1674" t="s">
        <v>624</v>
      </c>
      <c r="M1674" t="s">
        <v>868</v>
      </c>
      <c r="O1674">
        <v>40</v>
      </c>
      <c r="ES1674">
        <v>1</v>
      </c>
    </row>
    <row r="1675" spans="1:167" x14ac:dyDescent="0.25">
      <c r="A1675" t="s">
        <v>621</v>
      </c>
      <c r="B1675" t="s">
        <v>136</v>
      </c>
      <c r="C1675" s="3">
        <f t="shared" si="42"/>
        <v>23.925166666666669</v>
      </c>
      <c r="D1675" s="3">
        <f t="shared" si="43"/>
        <v>120.40966666666667</v>
      </c>
      <c r="E1675" t="s">
        <v>15</v>
      </c>
      <c r="F1675" t="s">
        <v>20</v>
      </c>
      <c r="G1675" t="s">
        <v>214</v>
      </c>
      <c r="I1675" t="s">
        <v>12</v>
      </c>
      <c r="J1675" t="s">
        <v>12</v>
      </c>
      <c r="K1675" t="s">
        <v>12</v>
      </c>
      <c r="L1675" t="s">
        <v>624</v>
      </c>
      <c r="M1675" t="s">
        <v>868</v>
      </c>
      <c r="O1675">
        <v>42</v>
      </c>
      <c r="ET1675">
        <v>1</v>
      </c>
    </row>
    <row r="1676" spans="1:167" x14ac:dyDescent="0.25">
      <c r="A1676" t="s">
        <v>621</v>
      </c>
      <c r="B1676" t="s">
        <v>136</v>
      </c>
      <c r="C1676" s="3">
        <f t="shared" si="42"/>
        <v>23.925166666666669</v>
      </c>
      <c r="D1676" s="3">
        <f t="shared" si="43"/>
        <v>120.40966666666667</v>
      </c>
      <c r="E1676" t="s">
        <v>15</v>
      </c>
      <c r="F1676" t="s">
        <v>20</v>
      </c>
      <c r="G1676" t="s">
        <v>214</v>
      </c>
      <c r="I1676" t="s">
        <v>12</v>
      </c>
      <c r="J1676" t="s">
        <v>12</v>
      </c>
      <c r="K1676" t="s">
        <v>12</v>
      </c>
      <c r="L1676" t="s">
        <v>624</v>
      </c>
      <c r="M1676" t="s">
        <v>868</v>
      </c>
      <c r="O1676">
        <v>46</v>
      </c>
      <c r="EU1676">
        <v>1</v>
      </c>
    </row>
    <row r="1677" spans="1:167" x14ac:dyDescent="0.25">
      <c r="A1677" t="s">
        <v>621</v>
      </c>
      <c r="B1677" t="s">
        <v>136</v>
      </c>
      <c r="C1677" s="3">
        <f t="shared" si="42"/>
        <v>23.925166666666669</v>
      </c>
      <c r="D1677" s="3">
        <f t="shared" si="43"/>
        <v>120.40966666666667</v>
      </c>
      <c r="E1677" t="s">
        <v>15</v>
      </c>
      <c r="F1677" t="s">
        <v>20</v>
      </c>
      <c r="G1677" t="s">
        <v>214</v>
      </c>
      <c r="I1677" t="s">
        <v>12</v>
      </c>
      <c r="J1677" t="s">
        <v>12</v>
      </c>
      <c r="K1677" t="s">
        <v>12</v>
      </c>
      <c r="L1677" t="s">
        <v>624</v>
      </c>
      <c r="M1677" t="s">
        <v>868</v>
      </c>
      <c r="O1677">
        <v>33</v>
      </c>
      <c r="EV1677">
        <v>1</v>
      </c>
    </row>
    <row r="1678" spans="1:167" x14ac:dyDescent="0.25">
      <c r="A1678" t="s">
        <v>621</v>
      </c>
      <c r="B1678" t="s">
        <v>136</v>
      </c>
      <c r="C1678" s="3">
        <f t="shared" si="42"/>
        <v>23.925166666666669</v>
      </c>
      <c r="D1678" s="3">
        <f t="shared" si="43"/>
        <v>120.40966666666667</v>
      </c>
      <c r="E1678" t="s">
        <v>15</v>
      </c>
      <c r="F1678" t="s">
        <v>20</v>
      </c>
      <c r="G1678" t="s">
        <v>214</v>
      </c>
      <c r="I1678" t="s">
        <v>12</v>
      </c>
      <c r="J1678" t="s">
        <v>12</v>
      </c>
      <c r="K1678" t="s">
        <v>12</v>
      </c>
      <c r="L1678" t="s">
        <v>624</v>
      </c>
      <c r="M1678" t="s">
        <v>868</v>
      </c>
      <c r="O1678">
        <v>30</v>
      </c>
      <c r="EW1678">
        <v>1</v>
      </c>
    </row>
    <row r="1679" spans="1:167" x14ac:dyDescent="0.25">
      <c r="A1679" t="s">
        <v>621</v>
      </c>
      <c r="B1679" t="s">
        <v>136</v>
      </c>
      <c r="C1679" s="3">
        <f t="shared" si="42"/>
        <v>23.925166666666669</v>
      </c>
      <c r="D1679" s="3">
        <f t="shared" si="43"/>
        <v>120.40966666666667</v>
      </c>
      <c r="E1679" t="s">
        <v>15</v>
      </c>
      <c r="F1679" t="s">
        <v>20</v>
      </c>
      <c r="G1679" t="s">
        <v>214</v>
      </c>
      <c r="I1679" t="s">
        <v>12</v>
      </c>
      <c r="J1679" t="s">
        <v>12</v>
      </c>
      <c r="K1679" t="s">
        <v>12</v>
      </c>
      <c r="L1679" t="s">
        <v>624</v>
      </c>
      <c r="M1679" t="s">
        <v>868</v>
      </c>
      <c r="O1679">
        <v>21</v>
      </c>
      <c r="EX1679">
        <v>1</v>
      </c>
    </row>
    <row r="1680" spans="1:167" x14ac:dyDescent="0.25">
      <c r="A1680" t="s">
        <v>621</v>
      </c>
      <c r="B1680" t="s">
        <v>136</v>
      </c>
      <c r="C1680" s="3">
        <f t="shared" si="42"/>
        <v>23.925166666666669</v>
      </c>
      <c r="D1680" s="3">
        <f t="shared" si="43"/>
        <v>120.40966666666667</v>
      </c>
      <c r="E1680" t="s">
        <v>15</v>
      </c>
      <c r="F1680" t="s">
        <v>20</v>
      </c>
      <c r="G1680" t="s">
        <v>214</v>
      </c>
      <c r="I1680" t="s">
        <v>12</v>
      </c>
      <c r="J1680" t="s">
        <v>12</v>
      </c>
      <c r="K1680" t="s">
        <v>12</v>
      </c>
      <c r="L1680" t="s">
        <v>624</v>
      </c>
      <c r="M1680" t="s">
        <v>868</v>
      </c>
      <c r="O1680">
        <v>22</v>
      </c>
      <c r="EY1680">
        <v>1</v>
      </c>
    </row>
    <row r="1681" spans="1:171" x14ac:dyDescent="0.25">
      <c r="A1681" t="s">
        <v>621</v>
      </c>
      <c r="B1681" t="s">
        <v>136</v>
      </c>
      <c r="C1681" s="3">
        <f t="shared" si="42"/>
        <v>23.925166666666669</v>
      </c>
      <c r="D1681" s="3">
        <f t="shared" si="43"/>
        <v>120.40966666666667</v>
      </c>
      <c r="E1681" t="s">
        <v>15</v>
      </c>
      <c r="F1681" t="s">
        <v>20</v>
      </c>
      <c r="G1681" t="s">
        <v>214</v>
      </c>
      <c r="I1681" t="s">
        <v>12</v>
      </c>
      <c r="J1681" t="s">
        <v>12</v>
      </c>
      <c r="K1681" t="s">
        <v>12</v>
      </c>
      <c r="L1681" t="s">
        <v>624</v>
      </c>
      <c r="M1681" t="s">
        <v>868</v>
      </c>
      <c r="O1681">
        <v>33</v>
      </c>
      <c r="EZ1681">
        <v>1</v>
      </c>
    </row>
    <row r="1682" spans="1:171" x14ac:dyDescent="0.25">
      <c r="A1682" t="s">
        <v>621</v>
      </c>
      <c r="B1682" t="s">
        <v>136</v>
      </c>
      <c r="C1682" s="3">
        <f t="shared" si="42"/>
        <v>23.925166666666669</v>
      </c>
      <c r="D1682" s="3">
        <f t="shared" si="43"/>
        <v>120.40966666666667</v>
      </c>
      <c r="E1682" t="s">
        <v>15</v>
      </c>
      <c r="F1682" t="s">
        <v>20</v>
      </c>
      <c r="G1682" t="s">
        <v>214</v>
      </c>
      <c r="I1682" t="s">
        <v>12</v>
      </c>
      <c r="J1682" t="s">
        <v>12</v>
      </c>
      <c r="K1682" t="s">
        <v>12</v>
      </c>
      <c r="L1682" t="s">
        <v>624</v>
      </c>
      <c r="M1682" t="s">
        <v>868</v>
      </c>
      <c r="O1682">
        <v>34</v>
      </c>
      <c r="FA1682">
        <v>1</v>
      </c>
    </row>
    <row r="1683" spans="1:171" x14ac:dyDescent="0.25">
      <c r="A1683" t="s">
        <v>621</v>
      </c>
      <c r="B1683" t="s">
        <v>136</v>
      </c>
      <c r="C1683" s="3">
        <f t="shared" si="42"/>
        <v>23.925166666666669</v>
      </c>
      <c r="D1683" s="3">
        <f t="shared" si="43"/>
        <v>120.40966666666667</v>
      </c>
      <c r="E1683" t="s">
        <v>15</v>
      </c>
      <c r="F1683" t="s">
        <v>20</v>
      </c>
      <c r="G1683" t="s">
        <v>214</v>
      </c>
      <c r="I1683" t="s">
        <v>12</v>
      </c>
      <c r="J1683" t="s">
        <v>12</v>
      </c>
      <c r="K1683" t="s">
        <v>12</v>
      </c>
      <c r="L1683" t="s">
        <v>624</v>
      </c>
      <c r="M1683" t="s">
        <v>868</v>
      </c>
      <c r="O1683">
        <v>50</v>
      </c>
      <c r="FB1683">
        <v>1</v>
      </c>
    </row>
    <row r="1684" spans="1:171" x14ac:dyDescent="0.25">
      <c r="A1684" t="s">
        <v>621</v>
      </c>
      <c r="B1684" t="s">
        <v>136</v>
      </c>
      <c r="C1684" s="3">
        <f t="shared" si="42"/>
        <v>23.925166666666669</v>
      </c>
      <c r="D1684" s="3">
        <f t="shared" si="43"/>
        <v>120.40966666666667</v>
      </c>
      <c r="E1684" t="s">
        <v>15</v>
      </c>
      <c r="F1684" t="s">
        <v>20</v>
      </c>
      <c r="G1684" t="s">
        <v>214</v>
      </c>
      <c r="I1684" t="s">
        <v>12</v>
      </c>
      <c r="J1684" t="s">
        <v>12</v>
      </c>
      <c r="K1684" t="s">
        <v>12</v>
      </c>
      <c r="L1684" t="s">
        <v>624</v>
      </c>
      <c r="M1684" t="s">
        <v>868</v>
      </c>
      <c r="O1684">
        <v>44</v>
      </c>
      <c r="FC1684">
        <v>1</v>
      </c>
    </row>
    <row r="1685" spans="1:171" x14ac:dyDescent="0.25">
      <c r="A1685" t="s">
        <v>621</v>
      </c>
      <c r="B1685" t="s">
        <v>136</v>
      </c>
      <c r="C1685" s="3">
        <f t="shared" si="42"/>
        <v>23.925166666666669</v>
      </c>
      <c r="D1685" s="3">
        <f t="shared" si="43"/>
        <v>120.40966666666667</v>
      </c>
      <c r="E1685" t="s">
        <v>15</v>
      </c>
      <c r="F1685" t="s">
        <v>20</v>
      </c>
      <c r="G1685" t="s">
        <v>214</v>
      </c>
      <c r="I1685" t="s">
        <v>12</v>
      </c>
      <c r="J1685" t="s">
        <v>12</v>
      </c>
      <c r="K1685" t="s">
        <v>12</v>
      </c>
      <c r="L1685" t="s">
        <v>624</v>
      </c>
      <c r="M1685" t="s">
        <v>868</v>
      </c>
      <c r="O1685">
        <v>38</v>
      </c>
      <c r="FD1685">
        <v>1</v>
      </c>
    </row>
    <row r="1686" spans="1:171" x14ac:dyDescent="0.25">
      <c r="A1686" t="s">
        <v>621</v>
      </c>
      <c r="B1686" t="s">
        <v>136</v>
      </c>
      <c r="C1686" s="3">
        <f t="shared" si="42"/>
        <v>23.925166666666669</v>
      </c>
      <c r="D1686" s="3">
        <f t="shared" si="43"/>
        <v>120.40966666666667</v>
      </c>
      <c r="E1686" t="s">
        <v>15</v>
      </c>
      <c r="F1686" t="s">
        <v>20</v>
      </c>
      <c r="G1686" t="s">
        <v>214</v>
      </c>
      <c r="I1686" t="s">
        <v>12</v>
      </c>
      <c r="J1686" t="s">
        <v>12</v>
      </c>
      <c r="K1686" t="s">
        <v>12</v>
      </c>
      <c r="L1686" t="s">
        <v>624</v>
      </c>
      <c r="M1686" t="s">
        <v>868</v>
      </c>
      <c r="O1686">
        <v>42</v>
      </c>
      <c r="FE1686">
        <v>1</v>
      </c>
    </row>
    <row r="1687" spans="1:171" x14ac:dyDescent="0.25">
      <c r="A1687" t="s">
        <v>621</v>
      </c>
      <c r="B1687" t="s">
        <v>136</v>
      </c>
      <c r="C1687" s="3">
        <f t="shared" si="42"/>
        <v>23.925166666666669</v>
      </c>
      <c r="D1687" s="3">
        <f t="shared" si="43"/>
        <v>120.40966666666667</v>
      </c>
      <c r="E1687" t="s">
        <v>15</v>
      </c>
      <c r="F1687" t="s">
        <v>20</v>
      </c>
      <c r="G1687" t="s">
        <v>214</v>
      </c>
      <c r="I1687" t="s">
        <v>12</v>
      </c>
      <c r="J1687" t="s">
        <v>12</v>
      </c>
      <c r="K1687" t="s">
        <v>12</v>
      </c>
      <c r="L1687" t="s">
        <v>624</v>
      </c>
      <c r="M1687" t="s">
        <v>868</v>
      </c>
      <c r="O1687">
        <v>53</v>
      </c>
      <c r="FF1687">
        <v>1</v>
      </c>
    </row>
    <row r="1688" spans="1:171" x14ac:dyDescent="0.25">
      <c r="A1688" t="s">
        <v>621</v>
      </c>
      <c r="B1688" t="s">
        <v>136</v>
      </c>
      <c r="C1688" s="3">
        <f t="shared" si="42"/>
        <v>23.925166666666669</v>
      </c>
      <c r="D1688" s="3">
        <f t="shared" si="43"/>
        <v>120.40966666666667</v>
      </c>
      <c r="E1688" t="s">
        <v>15</v>
      </c>
      <c r="F1688" t="s">
        <v>20</v>
      </c>
      <c r="G1688" t="s">
        <v>214</v>
      </c>
      <c r="I1688" t="s">
        <v>12</v>
      </c>
      <c r="J1688" t="s">
        <v>12</v>
      </c>
      <c r="K1688" t="s">
        <v>12</v>
      </c>
      <c r="L1688" t="s">
        <v>624</v>
      </c>
      <c r="M1688" t="s">
        <v>868</v>
      </c>
      <c r="O1688">
        <v>40</v>
      </c>
      <c r="FG1688">
        <v>1</v>
      </c>
    </row>
    <row r="1689" spans="1:171" x14ac:dyDescent="0.25">
      <c r="A1689" t="s">
        <v>621</v>
      </c>
      <c r="B1689" t="s">
        <v>136</v>
      </c>
      <c r="C1689" s="3">
        <f t="shared" si="42"/>
        <v>23.925166666666669</v>
      </c>
      <c r="D1689" s="3">
        <f t="shared" si="43"/>
        <v>120.40966666666667</v>
      </c>
      <c r="E1689" t="s">
        <v>15</v>
      </c>
      <c r="F1689" t="s">
        <v>20</v>
      </c>
      <c r="G1689" t="s">
        <v>214</v>
      </c>
      <c r="I1689" t="s">
        <v>12</v>
      </c>
      <c r="J1689" t="s">
        <v>12</v>
      </c>
      <c r="K1689" t="s">
        <v>12</v>
      </c>
      <c r="L1689" t="s">
        <v>624</v>
      </c>
      <c r="M1689" t="s">
        <v>868</v>
      </c>
      <c r="O1689">
        <v>45</v>
      </c>
      <c r="FH1689">
        <v>1</v>
      </c>
    </row>
    <row r="1690" spans="1:171" x14ac:dyDescent="0.25">
      <c r="A1690" t="s">
        <v>621</v>
      </c>
      <c r="B1690" t="s">
        <v>136</v>
      </c>
      <c r="C1690" s="3">
        <f t="shared" si="42"/>
        <v>23.925166666666669</v>
      </c>
      <c r="D1690" s="3">
        <f t="shared" si="43"/>
        <v>120.40966666666667</v>
      </c>
      <c r="E1690" t="s">
        <v>15</v>
      </c>
      <c r="F1690" t="s">
        <v>20</v>
      </c>
      <c r="G1690" t="s">
        <v>214</v>
      </c>
      <c r="I1690" t="s">
        <v>12</v>
      </c>
      <c r="J1690" t="s">
        <v>12</v>
      </c>
      <c r="K1690" t="s">
        <v>12</v>
      </c>
      <c r="L1690" t="s">
        <v>624</v>
      </c>
      <c r="M1690" t="s">
        <v>868</v>
      </c>
      <c r="O1690">
        <v>46</v>
      </c>
      <c r="FI1690">
        <v>1</v>
      </c>
    </row>
    <row r="1691" spans="1:171" x14ac:dyDescent="0.25">
      <c r="A1691" t="s">
        <v>621</v>
      </c>
      <c r="B1691" t="s">
        <v>136</v>
      </c>
      <c r="C1691" s="3">
        <f t="shared" si="42"/>
        <v>23.925166666666669</v>
      </c>
      <c r="D1691" s="3">
        <f t="shared" si="43"/>
        <v>120.40966666666667</v>
      </c>
      <c r="E1691" t="s">
        <v>15</v>
      </c>
      <c r="F1691" t="s">
        <v>20</v>
      </c>
      <c r="G1691" t="s">
        <v>214</v>
      </c>
      <c r="I1691" t="s">
        <v>12</v>
      </c>
      <c r="J1691" t="s">
        <v>12</v>
      </c>
      <c r="K1691" t="s">
        <v>12</v>
      </c>
      <c r="L1691" t="s">
        <v>624</v>
      </c>
      <c r="M1691" t="s">
        <v>868</v>
      </c>
      <c r="O1691">
        <v>21</v>
      </c>
      <c r="FJ1691">
        <v>1</v>
      </c>
    </row>
    <row r="1692" spans="1:171" x14ac:dyDescent="0.25">
      <c r="A1692" t="s">
        <v>621</v>
      </c>
      <c r="B1692" t="s">
        <v>136</v>
      </c>
      <c r="C1692" s="3">
        <f t="shared" si="42"/>
        <v>23.925166666666669</v>
      </c>
      <c r="D1692" s="3">
        <f t="shared" si="43"/>
        <v>120.40966666666667</v>
      </c>
      <c r="E1692" t="s">
        <v>15</v>
      </c>
      <c r="F1692" t="s">
        <v>20</v>
      </c>
      <c r="G1692" t="s">
        <v>214</v>
      </c>
      <c r="I1692" t="s">
        <v>12</v>
      </c>
      <c r="J1692" t="s">
        <v>12</v>
      </c>
      <c r="K1692" t="s">
        <v>12</v>
      </c>
      <c r="L1692" t="s">
        <v>624</v>
      </c>
      <c r="M1692" t="s">
        <v>868</v>
      </c>
      <c r="O1692">
        <v>27</v>
      </c>
      <c r="FK1692">
        <v>1</v>
      </c>
    </row>
    <row r="1693" spans="1:171" x14ac:dyDescent="0.25">
      <c r="A1693" t="s">
        <v>621</v>
      </c>
      <c r="B1693" t="s">
        <v>136</v>
      </c>
      <c r="C1693" s="3">
        <f t="shared" si="42"/>
        <v>23.925166666666669</v>
      </c>
      <c r="D1693" s="3">
        <f t="shared" si="43"/>
        <v>120.40966666666667</v>
      </c>
      <c r="E1693" t="s">
        <v>15</v>
      </c>
      <c r="F1693" t="s">
        <v>20</v>
      </c>
      <c r="G1693" t="s">
        <v>214</v>
      </c>
      <c r="I1693" t="s">
        <v>12</v>
      </c>
      <c r="J1693" t="s">
        <v>12</v>
      </c>
      <c r="K1693" t="s">
        <v>12</v>
      </c>
      <c r="L1693" t="s">
        <v>624</v>
      </c>
      <c r="M1693" t="s">
        <v>868</v>
      </c>
      <c r="O1693">
        <v>23</v>
      </c>
      <c r="FL1693">
        <v>1</v>
      </c>
    </row>
    <row r="1694" spans="1:171" x14ac:dyDescent="0.25">
      <c r="A1694" t="s">
        <v>621</v>
      </c>
      <c r="B1694" t="s">
        <v>136</v>
      </c>
      <c r="C1694" s="3">
        <f t="shared" si="42"/>
        <v>23.925166666666669</v>
      </c>
      <c r="D1694" s="3">
        <f t="shared" si="43"/>
        <v>120.40966666666667</v>
      </c>
      <c r="E1694" t="s">
        <v>15</v>
      </c>
      <c r="F1694" t="s">
        <v>20</v>
      </c>
      <c r="G1694" t="s">
        <v>214</v>
      </c>
      <c r="I1694" t="s">
        <v>12</v>
      </c>
      <c r="J1694" t="s">
        <v>12</v>
      </c>
      <c r="K1694" t="s">
        <v>12</v>
      </c>
      <c r="L1694" t="s">
        <v>624</v>
      </c>
      <c r="M1694" t="s">
        <v>868</v>
      </c>
      <c r="O1694">
        <v>44</v>
      </c>
      <c r="FM1694">
        <v>1</v>
      </c>
    </row>
    <row r="1695" spans="1:171" x14ac:dyDescent="0.25">
      <c r="A1695" t="s">
        <v>621</v>
      </c>
      <c r="B1695" t="s">
        <v>136</v>
      </c>
      <c r="C1695" s="3">
        <f t="shared" si="42"/>
        <v>23.925166666666669</v>
      </c>
      <c r="D1695" s="3">
        <f t="shared" si="43"/>
        <v>120.40966666666667</v>
      </c>
      <c r="E1695" t="s">
        <v>15</v>
      </c>
      <c r="F1695" t="s">
        <v>20</v>
      </c>
      <c r="G1695" t="s">
        <v>214</v>
      </c>
      <c r="I1695" t="s">
        <v>12</v>
      </c>
      <c r="J1695" t="s">
        <v>12</v>
      </c>
      <c r="K1695" t="s">
        <v>12</v>
      </c>
      <c r="L1695" t="s">
        <v>624</v>
      </c>
      <c r="M1695" t="s">
        <v>868</v>
      </c>
      <c r="O1695">
        <v>40</v>
      </c>
      <c r="FN1695">
        <v>1</v>
      </c>
    </row>
    <row r="1696" spans="1:171" x14ac:dyDescent="0.25">
      <c r="A1696" t="s">
        <v>621</v>
      </c>
      <c r="B1696" t="s">
        <v>136</v>
      </c>
      <c r="C1696" s="3">
        <f t="shared" si="42"/>
        <v>23.925166666666669</v>
      </c>
      <c r="D1696" s="3">
        <f t="shared" si="43"/>
        <v>120.40966666666667</v>
      </c>
      <c r="E1696" t="s">
        <v>15</v>
      </c>
      <c r="F1696" t="s">
        <v>20</v>
      </c>
      <c r="G1696" t="s">
        <v>214</v>
      </c>
      <c r="I1696" t="s">
        <v>12</v>
      </c>
      <c r="J1696" t="s">
        <v>12</v>
      </c>
      <c r="K1696" t="s">
        <v>12</v>
      </c>
      <c r="L1696" t="s">
        <v>624</v>
      </c>
      <c r="M1696" t="s">
        <v>868</v>
      </c>
      <c r="O1696">
        <v>36</v>
      </c>
      <c r="FO1696">
        <v>1</v>
      </c>
    </row>
    <row r="1697" spans="1:184" x14ac:dyDescent="0.25">
      <c r="A1697" t="s">
        <v>621</v>
      </c>
      <c r="B1697" t="s">
        <v>136</v>
      </c>
      <c r="C1697" s="3">
        <f t="shared" si="42"/>
        <v>23.925166666666669</v>
      </c>
      <c r="D1697" s="3">
        <f t="shared" si="43"/>
        <v>120.40966666666667</v>
      </c>
      <c r="E1697" t="s">
        <v>15</v>
      </c>
      <c r="F1697" t="s">
        <v>20</v>
      </c>
      <c r="G1697" t="s">
        <v>214</v>
      </c>
      <c r="I1697" t="s">
        <v>12</v>
      </c>
      <c r="J1697" t="s">
        <v>12</v>
      </c>
      <c r="K1697" t="s">
        <v>12</v>
      </c>
      <c r="L1697" t="s">
        <v>624</v>
      </c>
      <c r="M1697" t="s">
        <v>868</v>
      </c>
      <c r="O1697">
        <v>53</v>
      </c>
      <c r="FP1697">
        <v>1</v>
      </c>
    </row>
    <row r="1698" spans="1:184" x14ac:dyDescent="0.25">
      <c r="A1698" t="s">
        <v>621</v>
      </c>
      <c r="B1698" t="s">
        <v>136</v>
      </c>
      <c r="C1698" s="3">
        <f t="shared" si="42"/>
        <v>23.925166666666669</v>
      </c>
      <c r="D1698" s="3">
        <f t="shared" si="43"/>
        <v>120.40966666666667</v>
      </c>
      <c r="E1698" t="s">
        <v>15</v>
      </c>
      <c r="F1698" t="s">
        <v>20</v>
      </c>
      <c r="G1698" t="s">
        <v>214</v>
      </c>
      <c r="I1698" t="s">
        <v>12</v>
      </c>
      <c r="J1698" t="s">
        <v>12</v>
      </c>
      <c r="K1698" t="s">
        <v>12</v>
      </c>
      <c r="L1698" t="s">
        <v>624</v>
      </c>
      <c r="M1698" t="s">
        <v>868</v>
      </c>
      <c r="O1698">
        <v>40</v>
      </c>
      <c r="FQ1698">
        <v>1</v>
      </c>
    </row>
    <row r="1699" spans="1:184" x14ac:dyDescent="0.25">
      <c r="A1699" t="s">
        <v>621</v>
      </c>
      <c r="B1699" t="s">
        <v>136</v>
      </c>
      <c r="C1699" s="3">
        <f t="shared" si="42"/>
        <v>23.925166666666669</v>
      </c>
      <c r="D1699" s="3">
        <f t="shared" si="43"/>
        <v>120.40966666666667</v>
      </c>
      <c r="E1699" t="s">
        <v>15</v>
      </c>
      <c r="F1699" t="s">
        <v>20</v>
      </c>
      <c r="G1699" t="s">
        <v>214</v>
      </c>
      <c r="I1699" t="s">
        <v>12</v>
      </c>
      <c r="J1699" t="s">
        <v>12</v>
      </c>
      <c r="K1699" t="s">
        <v>12</v>
      </c>
      <c r="L1699" t="s">
        <v>624</v>
      </c>
      <c r="M1699" t="s">
        <v>868</v>
      </c>
      <c r="O1699">
        <v>36</v>
      </c>
      <c r="FR1699">
        <v>1</v>
      </c>
    </row>
    <row r="1700" spans="1:184" x14ac:dyDescent="0.25">
      <c r="A1700" t="s">
        <v>621</v>
      </c>
      <c r="B1700" t="s">
        <v>136</v>
      </c>
      <c r="C1700" s="3">
        <f t="shared" si="42"/>
        <v>23.925166666666669</v>
      </c>
      <c r="D1700" s="3">
        <f t="shared" si="43"/>
        <v>120.40966666666667</v>
      </c>
      <c r="E1700" t="s">
        <v>15</v>
      </c>
      <c r="F1700" t="s">
        <v>20</v>
      </c>
      <c r="G1700" t="s">
        <v>214</v>
      </c>
      <c r="I1700" t="s">
        <v>12</v>
      </c>
      <c r="J1700" t="s">
        <v>12</v>
      </c>
      <c r="K1700" t="s">
        <v>12</v>
      </c>
      <c r="L1700" t="s">
        <v>624</v>
      </c>
      <c r="M1700" t="s">
        <v>868</v>
      </c>
      <c r="O1700">
        <v>53</v>
      </c>
      <c r="FS1700">
        <v>1</v>
      </c>
    </row>
    <row r="1701" spans="1:184" x14ac:dyDescent="0.25">
      <c r="A1701" t="s">
        <v>621</v>
      </c>
      <c r="B1701" t="s">
        <v>136</v>
      </c>
      <c r="C1701" s="3">
        <f t="shared" si="42"/>
        <v>23.925166666666669</v>
      </c>
      <c r="D1701" s="3">
        <f t="shared" si="43"/>
        <v>120.40966666666667</v>
      </c>
      <c r="E1701" t="s">
        <v>15</v>
      </c>
      <c r="F1701" t="s">
        <v>20</v>
      </c>
      <c r="G1701" t="s">
        <v>214</v>
      </c>
      <c r="I1701" t="s">
        <v>12</v>
      </c>
      <c r="J1701" t="s">
        <v>12</v>
      </c>
      <c r="K1701" t="s">
        <v>12</v>
      </c>
      <c r="L1701" t="s">
        <v>624</v>
      </c>
      <c r="M1701" t="s">
        <v>868</v>
      </c>
      <c r="O1701">
        <v>39</v>
      </c>
      <c r="FT1701">
        <v>1</v>
      </c>
    </row>
    <row r="1702" spans="1:184" x14ac:dyDescent="0.25">
      <c r="A1702" t="s">
        <v>621</v>
      </c>
      <c r="B1702" t="s">
        <v>136</v>
      </c>
      <c r="C1702" s="3">
        <f t="shared" si="42"/>
        <v>23.925166666666669</v>
      </c>
      <c r="D1702" s="3">
        <f t="shared" si="43"/>
        <v>120.40966666666667</v>
      </c>
      <c r="E1702" t="s">
        <v>15</v>
      </c>
      <c r="F1702" t="s">
        <v>20</v>
      </c>
      <c r="G1702" t="s">
        <v>214</v>
      </c>
      <c r="I1702" t="s">
        <v>12</v>
      </c>
      <c r="J1702" t="s">
        <v>12</v>
      </c>
      <c r="K1702" t="s">
        <v>12</v>
      </c>
      <c r="L1702" t="s">
        <v>624</v>
      </c>
      <c r="M1702" t="s">
        <v>868</v>
      </c>
      <c r="O1702">
        <v>27</v>
      </c>
      <c r="FU1702">
        <v>1</v>
      </c>
    </row>
    <row r="1703" spans="1:184" x14ac:dyDescent="0.25">
      <c r="A1703" t="s">
        <v>621</v>
      </c>
      <c r="B1703" t="s">
        <v>136</v>
      </c>
      <c r="C1703" s="3">
        <f t="shared" si="42"/>
        <v>23.925166666666669</v>
      </c>
      <c r="D1703" s="3">
        <f t="shared" si="43"/>
        <v>120.40966666666667</v>
      </c>
      <c r="E1703" t="s">
        <v>15</v>
      </c>
      <c r="F1703" t="s">
        <v>20</v>
      </c>
      <c r="G1703" t="s">
        <v>214</v>
      </c>
      <c r="I1703" t="s">
        <v>12</v>
      </c>
      <c r="J1703" t="s">
        <v>12</v>
      </c>
      <c r="K1703" t="s">
        <v>12</v>
      </c>
      <c r="L1703" t="s">
        <v>624</v>
      </c>
      <c r="M1703" t="s">
        <v>868</v>
      </c>
      <c r="O1703">
        <v>16</v>
      </c>
      <c r="FV1703">
        <v>1</v>
      </c>
    </row>
    <row r="1704" spans="1:184" x14ac:dyDescent="0.25">
      <c r="A1704" t="s">
        <v>621</v>
      </c>
      <c r="B1704" t="s">
        <v>136</v>
      </c>
      <c r="C1704" s="3">
        <f t="shared" si="42"/>
        <v>23.925166666666669</v>
      </c>
      <c r="D1704" s="3">
        <f t="shared" si="43"/>
        <v>120.40966666666667</v>
      </c>
      <c r="E1704" t="s">
        <v>15</v>
      </c>
      <c r="F1704" t="s">
        <v>20</v>
      </c>
      <c r="G1704" t="s">
        <v>214</v>
      </c>
      <c r="I1704" t="s">
        <v>12</v>
      </c>
      <c r="J1704" t="s">
        <v>12</v>
      </c>
      <c r="K1704" t="s">
        <v>12</v>
      </c>
      <c r="L1704" t="s">
        <v>624</v>
      </c>
      <c r="M1704" t="s">
        <v>868</v>
      </c>
      <c r="O1704">
        <v>19</v>
      </c>
      <c r="FW1704">
        <v>1</v>
      </c>
    </row>
    <row r="1705" spans="1:184" x14ac:dyDescent="0.25">
      <c r="A1705" t="s">
        <v>621</v>
      </c>
      <c r="B1705" t="s">
        <v>136</v>
      </c>
      <c r="C1705" s="3">
        <f t="shared" si="42"/>
        <v>23.925166666666669</v>
      </c>
      <c r="D1705" s="3">
        <f t="shared" si="43"/>
        <v>120.40966666666667</v>
      </c>
      <c r="E1705" t="s">
        <v>15</v>
      </c>
      <c r="F1705" t="s">
        <v>20</v>
      </c>
      <c r="G1705" t="s">
        <v>214</v>
      </c>
      <c r="I1705" t="s">
        <v>12</v>
      </c>
      <c r="J1705" t="s">
        <v>12</v>
      </c>
      <c r="K1705" t="s">
        <v>12</v>
      </c>
      <c r="L1705" t="s">
        <v>624</v>
      </c>
      <c r="M1705" t="s">
        <v>868</v>
      </c>
      <c r="O1705">
        <v>20</v>
      </c>
      <c r="FX1705">
        <v>1</v>
      </c>
    </row>
    <row r="1706" spans="1:184" x14ac:dyDescent="0.25">
      <c r="A1706" t="s">
        <v>621</v>
      </c>
      <c r="B1706" t="s">
        <v>136</v>
      </c>
      <c r="C1706" s="3">
        <f t="shared" si="42"/>
        <v>23.925166666666669</v>
      </c>
      <c r="D1706" s="3">
        <f t="shared" si="43"/>
        <v>120.40966666666667</v>
      </c>
      <c r="E1706" t="s">
        <v>15</v>
      </c>
      <c r="F1706" t="s">
        <v>20</v>
      </c>
      <c r="G1706" t="s">
        <v>214</v>
      </c>
      <c r="I1706" t="s">
        <v>12</v>
      </c>
      <c r="J1706" t="s">
        <v>12</v>
      </c>
      <c r="K1706" t="s">
        <v>12</v>
      </c>
      <c r="L1706" t="s">
        <v>624</v>
      </c>
      <c r="M1706" t="s">
        <v>868</v>
      </c>
      <c r="O1706">
        <v>32</v>
      </c>
      <c r="FY1706">
        <v>1</v>
      </c>
    </row>
    <row r="1707" spans="1:184" x14ac:dyDescent="0.25">
      <c r="A1707" t="s">
        <v>621</v>
      </c>
      <c r="B1707" t="s">
        <v>136</v>
      </c>
      <c r="C1707" s="3">
        <f t="shared" si="42"/>
        <v>23.925166666666669</v>
      </c>
      <c r="D1707" s="3">
        <f t="shared" si="43"/>
        <v>120.40966666666667</v>
      </c>
      <c r="E1707" t="s">
        <v>15</v>
      </c>
      <c r="F1707" t="s">
        <v>20</v>
      </c>
      <c r="G1707" t="s">
        <v>214</v>
      </c>
      <c r="I1707" t="s">
        <v>12</v>
      </c>
      <c r="J1707" t="s">
        <v>12</v>
      </c>
      <c r="K1707" t="s">
        <v>12</v>
      </c>
      <c r="L1707" t="s">
        <v>624</v>
      </c>
      <c r="M1707" t="s">
        <v>868</v>
      </c>
      <c r="O1707">
        <v>34</v>
      </c>
      <c r="FZ1707">
        <v>1</v>
      </c>
    </row>
    <row r="1708" spans="1:184" x14ac:dyDescent="0.25">
      <c r="A1708" t="s">
        <v>621</v>
      </c>
      <c r="B1708" t="s">
        <v>136</v>
      </c>
      <c r="C1708" s="3">
        <f t="shared" si="42"/>
        <v>23.925166666666669</v>
      </c>
      <c r="D1708" s="3">
        <f t="shared" si="43"/>
        <v>120.40966666666667</v>
      </c>
      <c r="E1708" t="s">
        <v>15</v>
      </c>
      <c r="F1708" t="s">
        <v>20</v>
      </c>
      <c r="G1708" t="s">
        <v>214</v>
      </c>
      <c r="I1708" t="s">
        <v>12</v>
      </c>
      <c r="J1708" t="s">
        <v>12</v>
      </c>
      <c r="K1708" t="s">
        <v>12</v>
      </c>
      <c r="L1708" t="s">
        <v>624</v>
      </c>
      <c r="M1708" t="s">
        <v>868</v>
      </c>
      <c r="O1708">
        <v>30</v>
      </c>
      <c r="GA1708">
        <v>1</v>
      </c>
    </row>
    <row r="1709" spans="1:184" x14ac:dyDescent="0.25">
      <c r="A1709" t="s">
        <v>621</v>
      </c>
      <c r="B1709" t="s">
        <v>136</v>
      </c>
      <c r="C1709" s="3">
        <f t="shared" si="42"/>
        <v>23.925166666666669</v>
      </c>
      <c r="D1709" s="3">
        <f t="shared" si="43"/>
        <v>120.40966666666667</v>
      </c>
      <c r="E1709" t="s">
        <v>15</v>
      </c>
      <c r="F1709" t="s">
        <v>20</v>
      </c>
      <c r="G1709" t="s">
        <v>214</v>
      </c>
      <c r="I1709" t="s">
        <v>12</v>
      </c>
      <c r="J1709" t="s">
        <v>12</v>
      </c>
      <c r="K1709" t="s">
        <v>12</v>
      </c>
      <c r="L1709" t="s">
        <v>624</v>
      </c>
      <c r="M1709" t="s">
        <v>868</v>
      </c>
      <c r="O1709">
        <v>36</v>
      </c>
      <c r="GB1709">
        <v>1</v>
      </c>
    </row>
    <row r="1710" spans="1:184" x14ac:dyDescent="0.25">
      <c r="A1710" t="s">
        <v>467</v>
      </c>
      <c r="B1710" t="s">
        <v>136</v>
      </c>
      <c r="C1710" s="3">
        <v>22.603000000000002</v>
      </c>
      <c r="D1710" s="3">
        <v>120.38800000000001</v>
      </c>
      <c r="E1710" t="s">
        <v>15</v>
      </c>
      <c r="F1710" t="s">
        <v>22</v>
      </c>
      <c r="G1710" t="s">
        <v>60</v>
      </c>
      <c r="I1710" t="s">
        <v>15</v>
      </c>
      <c r="J1710" t="s">
        <v>15</v>
      </c>
      <c r="K1710" t="s">
        <v>12</v>
      </c>
      <c r="L1710" t="s">
        <v>466</v>
      </c>
      <c r="M1710" t="s">
        <v>968</v>
      </c>
      <c r="O1710">
        <v>33.9</v>
      </c>
      <c r="EV1710">
        <v>1</v>
      </c>
      <c r="EW1710">
        <v>1</v>
      </c>
      <c r="EX1710">
        <v>1</v>
      </c>
      <c r="EY1710">
        <v>1</v>
      </c>
      <c r="EZ1710">
        <v>1</v>
      </c>
      <c r="FA1710">
        <v>1</v>
      </c>
      <c r="FB1710">
        <v>1</v>
      </c>
      <c r="FC1710">
        <v>1</v>
      </c>
      <c r="FD1710">
        <v>1</v>
      </c>
      <c r="FE1710">
        <v>1</v>
      </c>
      <c r="FF1710">
        <v>1</v>
      </c>
      <c r="FG1710">
        <v>1</v>
      </c>
    </row>
    <row r="1711" spans="1:184" x14ac:dyDescent="0.25">
      <c r="A1711" t="s">
        <v>619</v>
      </c>
      <c r="B1711" t="s">
        <v>136</v>
      </c>
      <c r="C1711" s="3">
        <f t="shared" ref="C1711:C1746" si="44">25+2/60+7.81/3600</f>
        <v>25.035502777777779</v>
      </c>
      <c r="D1711" s="3">
        <f t="shared" ref="D1711:D1746" si="45">121+4/60+57.9/3600</f>
        <v>121.08274999999999</v>
      </c>
      <c r="E1711" t="s">
        <v>15</v>
      </c>
      <c r="F1711" t="s">
        <v>19</v>
      </c>
      <c r="G1711" t="s">
        <v>214</v>
      </c>
      <c r="I1711" t="s">
        <v>12</v>
      </c>
      <c r="J1711" t="s">
        <v>12</v>
      </c>
      <c r="K1711" t="s">
        <v>12</v>
      </c>
      <c r="L1711" t="s">
        <v>624</v>
      </c>
      <c r="M1711" t="s">
        <v>868</v>
      </c>
      <c r="O1711">
        <v>31</v>
      </c>
      <c r="ES1711">
        <v>1</v>
      </c>
    </row>
    <row r="1712" spans="1:184" x14ac:dyDescent="0.25">
      <c r="A1712" t="s">
        <v>619</v>
      </c>
      <c r="B1712" t="s">
        <v>136</v>
      </c>
      <c r="C1712" s="3">
        <f t="shared" si="44"/>
        <v>25.035502777777779</v>
      </c>
      <c r="D1712" s="3">
        <f t="shared" si="45"/>
        <v>121.08274999999999</v>
      </c>
      <c r="E1712" t="s">
        <v>15</v>
      </c>
      <c r="F1712" t="s">
        <v>19</v>
      </c>
      <c r="G1712" t="s">
        <v>214</v>
      </c>
      <c r="I1712" t="s">
        <v>12</v>
      </c>
      <c r="J1712" t="s">
        <v>12</v>
      </c>
      <c r="K1712" t="s">
        <v>12</v>
      </c>
      <c r="L1712" t="s">
        <v>624</v>
      </c>
      <c r="M1712" t="s">
        <v>868</v>
      </c>
      <c r="O1712">
        <v>22</v>
      </c>
      <c r="ET1712">
        <v>1</v>
      </c>
    </row>
    <row r="1713" spans="1:166" x14ac:dyDescent="0.25">
      <c r="A1713" t="s">
        <v>619</v>
      </c>
      <c r="B1713" t="s">
        <v>136</v>
      </c>
      <c r="C1713" s="3">
        <f t="shared" si="44"/>
        <v>25.035502777777779</v>
      </c>
      <c r="D1713" s="3">
        <f t="shared" si="45"/>
        <v>121.08274999999999</v>
      </c>
      <c r="E1713" t="s">
        <v>15</v>
      </c>
      <c r="F1713" t="s">
        <v>19</v>
      </c>
      <c r="G1713" t="s">
        <v>214</v>
      </c>
      <c r="I1713" t="s">
        <v>12</v>
      </c>
      <c r="J1713" t="s">
        <v>12</v>
      </c>
      <c r="K1713" t="s">
        <v>12</v>
      </c>
      <c r="L1713" t="s">
        <v>624</v>
      </c>
      <c r="M1713" t="s">
        <v>868</v>
      </c>
      <c r="O1713">
        <v>32</v>
      </c>
      <c r="EU1713">
        <v>1</v>
      </c>
    </row>
    <row r="1714" spans="1:166" x14ac:dyDescent="0.25">
      <c r="A1714" t="s">
        <v>619</v>
      </c>
      <c r="B1714" t="s">
        <v>136</v>
      </c>
      <c r="C1714" s="3">
        <f t="shared" si="44"/>
        <v>25.035502777777779</v>
      </c>
      <c r="D1714" s="3">
        <f t="shared" si="45"/>
        <v>121.08274999999999</v>
      </c>
      <c r="E1714" t="s">
        <v>15</v>
      </c>
      <c r="F1714" t="s">
        <v>19</v>
      </c>
      <c r="G1714" t="s">
        <v>214</v>
      </c>
      <c r="I1714" t="s">
        <v>12</v>
      </c>
      <c r="J1714" t="s">
        <v>12</v>
      </c>
      <c r="K1714" t="s">
        <v>12</v>
      </c>
      <c r="L1714" t="s">
        <v>624</v>
      </c>
      <c r="M1714" t="s">
        <v>868</v>
      </c>
      <c r="O1714">
        <v>30</v>
      </c>
      <c r="EV1714">
        <v>1</v>
      </c>
    </row>
    <row r="1715" spans="1:166" x14ac:dyDescent="0.25">
      <c r="A1715" t="s">
        <v>619</v>
      </c>
      <c r="B1715" t="s">
        <v>136</v>
      </c>
      <c r="C1715" s="3">
        <f t="shared" si="44"/>
        <v>25.035502777777779</v>
      </c>
      <c r="D1715" s="3">
        <f t="shared" si="45"/>
        <v>121.08274999999999</v>
      </c>
      <c r="E1715" t="s">
        <v>15</v>
      </c>
      <c r="F1715" t="s">
        <v>19</v>
      </c>
      <c r="G1715" t="s">
        <v>214</v>
      </c>
      <c r="I1715" t="s">
        <v>12</v>
      </c>
      <c r="J1715" t="s">
        <v>12</v>
      </c>
      <c r="K1715" t="s">
        <v>12</v>
      </c>
      <c r="L1715" t="s">
        <v>624</v>
      </c>
      <c r="M1715" t="s">
        <v>868</v>
      </c>
      <c r="O1715">
        <v>24</v>
      </c>
      <c r="EW1715">
        <v>1</v>
      </c>
    </row>
    <row r="1716" spans="1:166" x14ac:dyDescent="0.25">
      <c r="A1716" t="s">
        <v>619</v>
      </c>
      <c r="B1716" t="s">
        <v>136</v>
      </c>
      <c r="C1716" s="3">
        <f t="shared" si="44"/>
        <v>25.035502777777779</v>
      </c>
      <c r="D1716" s="3">
        <f t="shared" si="45"/>
        <v>121.08274999999999</v>
      </c>
      <c r="E1716" t="s">
        <v>15</v>
      </c>
      <c r="F1716" t="s">
        <v>19</v>
      </c>
      <c r="G1716" t="s">
        <v>214</v>
      </c>
      <c r="I1716" t="s">
        <v>12</v>
      </c>
      <c r="J1716" t="s">
        <v>12</v>
      </c>
      <c r="K1716" t="s">
        <v>12</v>
      </c>
      <c r="L1716" t="s">
        <v>624</v>
      </c>
      <c r="M1716" t="s">
        <v>868</v>
      </c>
      <c r="O1716">
        <v>20</v>
      </c>
      <c r="EX1716">
        <v>1</v>
      </c>
    </row>
    <row r="1717" spans="1:166" x14ac:dyDescent="0.25">
      <c r="A1717" t="s">
        <v>619</v>
      </c>
      <c r="B1717" t="s">
        <v>136</v>
      </c>
      <c r="C1717" s="3">
        <f t="shared" si="44"/>
        <v>25.035502777777779</v>
      </c>
      <c r="D1717" s="3">
        <f t="shared" si="45"/>
        <v>121.08274999999999</v>
      </c>
      <c r="E1717" t="s">
        <v>15</v>
      </c>
      <c r="F1717" t="s">
        <v>19</v>
      </c>
      <c r="G1717" t="s">
        <v>214</v>
      </c>
      <c r="I1717" t="s">
        <v>12</v>
      </c>
      <c r="J1717" t="s">
        <v>12</v>
      </c>
      <c r="K1717" t="s">
        <v>12</v>
      </c>
      <c r="L1717" t="s">
        <v>624</v>
      </c>
      <c r="M1717" t="s">
        <v>868</v>
      </c>
      <c r="O1717">
        <v>18</v>
      </c>
      <c r="EY1717">
        <v>1</v>
      </c>
    </row>
    <row r="1718" spans="1:166" x14ac:dyDescent="0.25">
      <c r="A1718" t="s">
        <v>619</v>
      </c>
      <c r="B1718" t="s">
        <v>136</v>
      </c>
      <c r="C1718" s="3">
        <f t="shared" si="44"/>
        <v>25.035502777777779</v>
      </c>
      <c r="D1718" s="3">
        <f t="shared" si="45"/>
        <v>121.08274999999999</v>
      </c>
      <c r="E1718" t="s">
        <v>15</v>
      </c>
      <c r="F1718" t="s">
        <v>19</v>
      </c>
      <c r="G1718" t="s">
        <v>214</v>
      </c>
      <c r="I1718" t="s">
        <v>12</v>
      </c>
      <c r="J1718" t="s">
        <v>12</v>
      </c>
      <c r="K1718" t="s">
        <v>12</v>
      </c>
      <c r="L1718" t="s">
        <v>624</v>
      </c>
      <c r="M1718" t="s">
        <v>868</v>
      </c>
      <c r="O1718">
        <v>25</v>
      </c>
      <c r="EZ1718">
        <v>1</v>
      </c>
    </row>
    <row r="1719" spans="1:166" x14ac:dyDescent="0.25">
      <c r="A1719" t="s">
        <v>619</v>
      </c>
      <c r="B1719" t="s">
        <v>136</v>
      </c>
      <c r="C1719" s="3">
        <f t="shared" si="44"/>
        <v>25.035502777777779</v>
      </c>
      <c r="D1719" s="3">
        <f t="shared" si="45"/>
        <v>121.08274999999999</v>
      </c>
      <c r="E1719" t="s">
        <v>15</v>
      </c>
      <c r="F1719" t="s">
        <v>19</v>
      </c>
      <c r="G1719" t="s">
        <v>214</v>
      </c>
      <c r="I1719" t="s">
        <v>12</v>
      </c>
      <c r="J1719" t="s">
        <v>12</v>
      </c>
      <c r="K1719" t="s">
        <v>12</v>
      </c>
      <c r="L1719" t="s">
        <v>624</v>
      </c>
      <c r="M1719" t="s">
        <v>868</v>
      </c>
      <c r="O1719">
        <v>24</v>
      </c>
      <c r="FA1719">
        <v>1</v>
      </c>
    </row>
    <row r="1720" spans="1:166" x14ac:dyDescent="0.25">
      <c r="A1720" t="s">
        <v>619</v>
      </c>
      <c r="B1720" t="s">
        <v>136</v>
      </c>
      <c r="C1720" s="3">
        <f t="shared" si="44"/>
        <v>25.035502777777779</v>
      </c>
      <c r="D1720" s="3">
        <f t="shared" si="45"/>
        <v>121.08274999999999</v>
      </c>
      <c r="E1720" t="s">
        <v>15</v>
      </c>
      <c r="F1720" t="s">
        <v>19</v>
      </c>
      <c r="G1720" t="s">
        <v>214</v>
      </c>
      <c r="I1720" t="s">
        <v>12</v>
      </c>
      <c r="J1720" t="s">
        <v>12</v>
      </c>
      <c r="K1720" t="s">
        <v>12</v>
      </c>
      <c r="L1720" t="s">
        <v>624</v>
      </c>
      <c r="M1720" t="s">
        <v>868</v>
      </c>
      <c r="O1720">
        <v>34</v>
      </c>
      <c r="FB1720">
        <v>1</v>
      </c>
    </row>
    <row r="1721" spans="1:166" x14ac:dyDescent="0.25">
      <c r="A1721" t="s">
        <v>619</v>
      </c>
      <c r="B1721" t="s">
        <v>136</v>
      </c>
      <c r="C1721" s="3">
        <f t="shared" si="44"/>
        <v>25.035502777777779</v>
      </c>
      <c r="D1721" s="3">
        <f t="shared" si="45"/>
        <v>121.08274999999999</v>
      </c>
      <c r="E1721" t="s">
        <v>15</v>
      </c>
      <c r="F1721" t="s">
        <v>19</v>
      </c>
      <c r="G1721" t="s">
        <v>214</v>
      </c>
      <c r="I1721" t="s">
        <v>12</v>
      </c>
      <c r="J1721" t="s">
        <v>12</v>
      </c>
      <c r="K1721" t="s">
        <v>12</v>
      </c>
      <c r="L1721" t="s">
        <v>624</v>
      </c>
      <c r="M1721" t="s">
        <v>868</v>
      </c>
      <c r="O1721">
        <v>33</v>
      </c>
      <c r="FC1721">
        <v>1</v>
      </c>
    </row>
    <row r="1722" spans="1:166" x14ac:dyDescent="0.25">
      <c r="A1722" t="s">
        <v>619</v>
      </c>
      <c r="B1722" t="s">
        <v>136</v>
      </c>
      <c r="C1722" s="3">
        <f t="shared" si="44"/>
        <v>25.035502777777779</v>
      </c>
      <c r="D1722" s="3">
        <f t="shared" si="45"/>
        <v>121.08274999999999</v>
      </c>
      <c r="E1722" t="s">
        <v>15</v>
      </c>
      <c r="F1722" t="s">
        <v>19</v>
      </c>
      <c r="G1722" t="s">
        <v>214</v>
      </c>
      <c r="I1722" t="s">
        <v>12</v>
      </c>
      <c r="J1722" t="s">
        <v>12</v>
      </c>
      <c r="K1722" t="s">
        <v>12</v>
      </c>
      <c r="L1722" t="s">
        <v>624</v>
      </c>
      <c r="M1722" t="s">
        <v>868</v>
      </c>
      <c r="O1722">
        <v>25</v>
      </c>
      <c r="FD1722">
        <v>1</v>
      </c>
    </row>
    <row r="1723" spans="1:166" x14ac:dyDescent="0.25">
      <c r="A1723" t="s">
        <v>619</v>
      </c>
      <c r="B1723" t="s">
        <v>136</v>
      </c>
      <c r="C1723" s="3">
        <f t="shared" si="44"/>
        <v>25.035502777777779</v>
      </c>
      <c r="D1723" s="3">
        <f t="shared" si="45"/>
        <v>121.08274999999999</v>
      </c>
      <c r="E1723" t="s">
        <v>15</v>
      </c>
      <c r="F1723" t="s">
        <v>19</v>
      </c>
      <c r="G1723" t="s">
        <v>214</v>
      </c>
      <c r="I1723" t="s">
        <v>12</v>
      </c>
      <c r="J1723" t="s">
        <v>12</v>
      </c>
      <c r="K1723" t="s">
        <v>12</v>
      </c>
      <c r="L1723" t="s">
        <v>624</v>
      </c>
      <c r="M1723" t="s">
        <v>868</v>
      </c>
      <c r="O1723">
        <v>32</v>
      </c>
      <c r="FE1723">
        <v>1</v>
      </c>
    </row>
    <row r="1724" spans="1:166" x14ac:dyDescent="0.25">
      <c r="A1724" t="s">
        <v>619</v>
      </c>
      <c r="B1724" t="s">
        <v>136</v>
      </c>
      <c r="C1724" s="3">
        <f t="shared" si="44"/>
        <v>25.035502777777779</v>
      </c>
      <c r="D1724" s="3">
        <f t="shared" si="45"/>
        <v>121.08274999999999</v>
      </c>
      <c r="E1724" t="s">
        <v>15</v>
      </c>
      <c r="F1724" t="s">
        <v>19</v>
      </c>
      <c r="G1724" t="s">
        <v>214</v>
      </c>
      <c r="I1724" t="s">
        <v>12</v>
      </c>
      <c r="J1724" t="s">
        <v>12</v>
      </c>
      <c r="K1724" t="s">
        <v>12</v>
      </c>
      <c r="L1724" t="s">
        <v>624</v>
      </c>
      <c r="M1724" t="s">
        <v>868</v>
      </c>
      <c r="O1724">
        <v>42</v>
      </c>
      <c r="FF1724">
        <v>1</v>
      </c>
    </row>
    <row r="1725" spans="1:166" x14ac:dyDescent="0.25">
      <c r="A1725" t="s">
        <v>619</v>
      </c>
      <c r="B1725" t="s">
        <v>136</v>
      </c>
      <c r="C1725" s="3">
        <f t="shared" si="44"/>
        <v>25.035502777777779</v>
      </c>
      <c r="D1725" s="3">
        <f t="shared" si="45"/>
        <v>121.08274999999999</v>
      </c>
      <c r="E1725" t="s">
        <v>15</v>
      </c>
      <c r="F1725" t="s">
        <v>19</v>
      </c>
      <c r="G1725" t="s">
        <v>214</v>
      </c>
      <c r="I1725" t="s">
        <v>12</v>
      </c>
      <c r="J1725" t="s">
        <v>12</v>
      </c>
      <c r="K1725" t="s">
        <v>12</v>
      </c>
      <c r="L1725" t="s">
        <v>624</v>
      </c>
      <c r="M1725" t="s">
        <v>868</v>
      </c>
      <c r="O1725">
        <v>29</v>
      </c>
      <c r="FG1725">
        <v>1</v>
      </c>
    </row>
    <row r="1726" spans="1:166" x14ac:dyDescent="0.25">
      <c r="A1726" t="s">
        <v>619</v>
      </c>
      <c r="B1726" t="s">
        <v>136</v>
      </c>
      <c r="C1726" s="3">
        <f t="shared" si="44"/>
        <v>25.035502777777779</v>
      </c>
      <c r="D1726" s="3">
        <f t="shared" si="45"/>
        <v>121.08274999999999</v>
      </c>
      <c r="E1726" t="s">
        <v>15</v>
      </c>
      <c r="F1726" t="s">
        <v>19</v>
      </c>
      <c r="G1726" t="s">
        <v>214</v>
      </c>
      <c r="I1726" t="s">
        <v>12</v>
      </c>
      <c r="J1726" t="s">
        <v>12</v>
      </c>
      <c r="K1726" t="s">
        <v>12</v>
      </c>
      <c r="L1726" t="s">
        <v>624</v>
      </c>
      <c r="M1726" t="s">
        <v>868</v>
      </c>
      <c r="O1726">
        <v>37</v>
      </c>
      <c r="FH1726">
        <v>1</v>
      </c>
    </row>
    <row r="1727" spans="1:166" x14ac:dyDescent="0.25">
      <c r="A1727" t="s">
        <v>619</v>
      </c>
      <c r="B1727" t="s">
        <v>136</v>
      </c>
      <c r="C1727" s="3">
        <f t="shared" si="44"/>
        <v>25.035502777777779</v>
      </c>
      <c r="D1727" s="3">
        <f t="shared" si="45"/>
        <v>121.08274999999999</v>
      </c>
      <c r="E1727" t="s">
        <v>15</v>
      </c>
      <c r="F1727" t="s">
        <v>19</v>
      </c>
      <c r="G1727" t="s">
        <v>214</v>
      </c>
      <c r="I1727" t="s">
        <v>12</v>
      </c>
      <c r="J1727" t="s">
        <v>12</v>
      </c>
      <c r="K1727" t="s">
        <v>12</v>
      </c>
      <c r="L1727" t="s">
        <v>624</v>
      </c>
      <c r="M1727" t="s">
        <v>868</v>
      </c>
      <c r="O1727">
        <v>37</v>
      </c>
      <c r="FI1727">
        <v>1</v>
      </c>
    </row>
    <row r="1728" spans="1:166" x14ac:dyDescent="0.25">
      <c r="A1728" t="s">
        <v>619</v>
      </c>
      <c r="B1728" t="s">
        <v>136</v>
      </c>
      <c r="C1728" s="3">
        <f t="shared" si="44"/>
        <v>25.035502777777779</v>
      </c>
      <c r="D1728" s="3">
        <f t="shared" si="45"/>
        <v>121.08274999999999</v>
      </c>
      <c r="E1728" t="s">
        <v>15</v>
      </c>
      <c r="F1728" t="s">
        <v>19</v>
      </c>
      <c r="G1728" t="s">
        <v>214</v>
      </c>
      <c r="I1728" t="s">
        <v>12</v>
      </c>
      <c r="J1728" t="s">
        <v>12</v>
      </c>
      <c r="K1728" t="s">
        <v>12</v>
      </c>
      <c r="L1728" t="s">
        <v>624</v>
      </c>
      <c r="M1728" t="s">
        <v>868</v>
      </c>
      <c r="O1728">
        <v>16</v>
      </c>
      <c r="FJ1728">
        <v>1</v>
      </c>
    </row>
    <row r="1729" spans="1:182" x14ac:dyDescent="0.25">
      <c r="A1729" t="s">
        <v>619</v>
      </c>
      <c r="B1729" t="s">
        <v>136</v>
      </c>
      <c r="C1729" s="3">
        <f t="shared" si="44"/>
        <v>25.035502777777779</v>
      </c>
      <c r="D1729" s="3">
        <f t="shared" si="45"/>
        <v>121.08274999999999</v>
      </c>
      <c r="E1729" t="s">
        <v>15</v>
      </c>
      <c r="F1729" t="s">
        <v>19</v>
      </c>
      <c r="G1729" t="s">
        <v>214</v>
      </c>
      <c r="I1729" t="s">
        <v>12</v>
      </c>
      <c r="J1729" t="s">
        <v>12</v>
      </c>
      <c r="K1729" t="s">
        <v>12</v>
      </c>
      <c r="L1729" t="s">
        <v>624</v>
      </c>
      <c r="M1729" t="s">
        <v>868</v>
      </c>
      <c r="O1729">
        <v>21</v>
      </c>
      <c r="FK1729">
        <v>1</v>
      </c>
    </row>
    <row r="1730" spans="1:182" x14ac:dyDescent="0.25">
      <c r="A1730" t="s">
        <v>619</v>
      </c>
      <c r="B1730" t="s">
        <v>136</v>
      </c>
      <c r="C1730" s="3">
        <f t="shared" si="44"/>
        <v>25.035502777777779</v>
      </c>
      <c r="D1730" s="3">
        <f t="shared" si="45"/>
        <v>121.08274999999999</v>
      </c>
      <c r="E1730" t="s">
        <v>15</v>
      </c>
      <c r="F1730" t="s">
        <v>19</v>
      </c>
      <c r="G1730" t="s">
        <v>214</v>
      </c>
      <c r="I1730" t="s">
        <v>12</v>
      </c>
      <c r="J1730" t="s">
        <v>12</v>
      </c>
      <c r="K1730" t="s">
        <v>12</v>
      </c>
      <c r="L1730" t="s">
        <v>624</v>
      </c>
      <c r="M1730" t="s">
        <v>868</v>
      </c>
      <c r="O1730">
        <v>19</v>
      </c>
      <c r="FL1730">
        <v>1</v>
      </c>
    </row>
    <row r="1731" spans="1:182" x14ac:dyDescent="0.25">
      <c r="A1731" t="s">
        <v>619</v>
      </c>
      <c r="B1731" t="s">
        <v>136</v>
      </c>
      <c r="C1731" s="3">
        <f t="shared" si="44"/>
        <v>25.035502777777779</v>
      </c>
      <c r="D1731" s="3">
        <f t="shared" si="45"/>
        <v>121.08274999999999</v>
      </c>
      <c r="E1731" t="s">
        <v>15</v>
      </c>
      <c r="F1731" t="s">
        <v>19</v>
      </c>
      <c r="G1731" t="s">
        <v>214</v>
      </c>
      <c r="I1731" t="s">
        <v>12</v>
      </c>
      <c r="J1731" t="s">
        <v>12</v>
      </c>
      <c r="K1731" t="s">
        <v>12</v>
      </c>
      <c r="L1731" t="s">
        <v>624</v>
      </c>
      <c r="M1731" t="s">
        <v>868</v>
      </c>
      <c r="O1731">
        <v>29</v>
      </c>
      <c r="FM1731">
        <v>1</v>
      </c>
    </row>
    <row r="1732" spans="1:182" x14ac:dyDescent="0.25">
      <c r="A1732" t="s">
        <v>619</v>
      </c>
      <c r="B1732" t="s">
        <v>136</v>
      </c>
      <c r="C1732" s="3">
        <f t="shared" si="44"/>
        <v>25.035502777777779</v>
      </c>
      <c r="D1732" s="3">
        <f t="shared" si="45"/>
        <v>121.08274999999999</v>
      </c>
      <c r="E1732" t="s">
        <v>15</v>
      </c>
      <c r="F1732" t="s">
        <v>19</v>
      </c>
      <c r="G1732" t="s">
        <v>214</v>
      </c>
      <c r="I1732" t="s">
        <v>12</v>
      </c>
      <c r="J1732" t="s">
        <v>12</v>
      </c>
      <c r="K1732" t="s">
        <v>12</v>
      </c>
      <c r="L1732" t="s">
        <v>624</v>
      </c>
      <c r="M1732" t="s">
        <v>868</v>
      </c>
      <c r="O1732">
        <v>24</v>
      </c>
      <c r="FN1732">
        <v>1</v>
      </c>
    </row>
    <row r="1733" spans="1:182" x14ac:dyDescent="0.25">
      <c r="A1733" t="s">
        <v>619</v>
      </c>
      <c r="B1733" t="s">
        <v>136</v>
      </c>
      <c r="C1733" s="3">
        <f t="shared" si="44"/>
        <v>25.035502777777779</v>
      </c>
      <c r="D1733" s="3">
        <f t="shared" si="45"/>
        <v>121.08274999999999</v>
      </c>
      <c r="E1733" t="s">
        <v>15</v>
      </c>
      <c r="F1733" t="s">
        <v>19</v>
      </c>
      <c r="G1733" t="s">
        <v>214</v>
      </c>
      <c r="I1733" t="s">
        <v>12</v>
      </c>
      <c r="J1733" t="s">
        <v>12</v>
      </c>
      <c r="K1733" t="s">
        <v>12</v>
      </c>
      <c r="L1733" t="s">
        <v>624</v>
      </c>
      <c r="M1733" t="s">
        <v>868</v>
      </c>
      <c r="O1733">
        <v>23</v>
      </c>
      <c r="FO1733">
        <v>1</v>
      </c>
    </row>
    <row r="1734" spans="1:182" x14ac:dyDescent="0.25">
      <c r="A1734" t="s">
        <v>619</v>
      </c>
      <c r="B1734" t="s">
        <v>136</v>
      </c>
      <c r="C1734" s="3">
        <f t="shared" si="44"/>
        <v>25.035502777777779</v>
      </c>
      <c r="D1734" s="3">
        <f t="shared" si="45"/>
        <v>121.08274999999999</v>
      </c>
      <c r="E1734" t="s">
        <v>15</v>
      </c>
      <c r="F1734" t="s">
        <v>19</v>
      </c>
      <c r="G1734" t="s">
        <v>214</v>
      </c>
      <c r="I1734" t="s">
        <v>12</v>
      </c>
      <c r="J1734" t="s">
        <v>12</v>
      </c>
      <c r="K1734" t="s">
        <v>12</v>
      </c>
      <c r="L1734" t="s">
        <v>624</v>
      </c>
      <c r="M1734" t="s">
        <v>868</v>
      </c>
      <c r="O1734">
        <v>39</v>
      </c>
      <c r="FP1734">
        <v>1</v>
      </c>
    </row>
    <row r="1735" spans="1:182" x14ac:dyDescent="0.25">
      <c r="A1735" t="s">
        <v>619</v>
      </c>
      <c r="B1735" t="s">
        <v>136</v>
      </c>
      <c r="C1735" s="3">
        <f t="shared" si="44"/>
        <v>25.035502777777779</v>
      </c>
      <c r="D1735" s="3">
        <f t="shared" si="45"/>
        <v>121.08274999999999</v>
      </c>
      <c r="E1735" t="s">
        <v>15</v>
      </c>
      <c r="F1735" t="s">
        <v>19</v>
      </c>
      <c r="G1735" t="s">
        <v>214</v>
      </c>
      <c r="I1735" t="s">
        <v>12</v>
      </c>
      <c r="J1735" t="s">
        <v>12</v>
      </c>
      <c r="K1735" t="s">
        <v>12</v>
      </c>
      <c r="L1735" t="s">
        <v>624</v>
      </c>
      <c r="M1735" t="s">
        <v>868</v>
      </c>
      <c r="O1735">
        <v>31</v>
      </c>
      <c r="FQ1735">
        <v>1</v>
      </c>
    </row>
    <row r="1736" spans="1:182" x14ac:dyDescent="0.25">
      <c r="A1736" t="s">
        <v>619</v>
      </c>
      <c r="B1736" t="s">
        <v>136</v>
      </c>
      <c r="C1736" s="3">
        <f t="shared" si="44"/>
        <v>25.035502777777779</v>
      </c>
      <c r="D1736" s="3">
        <f t="shared" si="45"/>
        <v>121.08274999999999</v>
      </c>
      <c r="E1736" t="s">
        <v>15</v>
      </c>
      <c r="F1736" t="s">
        <v>19</v>
      </c>
      <c r="G1736" t="s">
        <v>214</v>
      </c>
      <c r="I1736" t="s">
        <v>12</v>
      </c>
      <c r="J1736" t="s">
        <v>12</v>
      </c>
      <c r="K1736" t="s">
        <v>12</v>
      </c>
      <c r="L1736" t="s">
        <v>624</v>
      </c>
      <c r="M1736" t="s">
        <v>868</v>
      </c>
      <c r="O1736">
        <v>36</v>
      </c>
      <c r="FR1736">
        <v>1</v>
      </c>
    </row>
    <row r="1737" spans="1:182" x14ac:dyDescent="0.25">
      <c r="A1737" t="s">
        <v>619</v>
      </c>
      <c r="B1737" t="s">
        <v>136</v>
      </c>
      <c r="C1737" s="3">
        <f t="shared" si="44"/>
        <v>25.035502777777779</v>
      </c>
      <c r="D1737" s="3">
        <f t="shared" si="45"/>
        <v>121.08274999999999</v>
      </c>
      <c r="E1737" t="s">
        <v>15</v>
      </c>
      <c r="F1737" t="s">
        <v>19</v>
      </c>
      <c r="G1737" t="s">
        <v>214</v>
      </c>
      <c r="I1737" t="s">
        <v>12</v>
      </c>
      <c r="J1737" t="s">
        <v>12</v>
      </c>
      <c r="K1737" t="s">
        <v>12</v>
      </c>
      <c r="L1737" t="s">
        <v>624</v>
      </c>
      <c r="M1737" t="s">
        <v>868</v>
      </c>
      <c r="O1737">
        <v>45</v>
      </c>
      <c r="FS1737">
        <v>1</v>
      </c>
    </row>
    <row r="1738" spans="1:182" x14ac:dyDescent="0.25">
      <c r="A1738" t="s">
        <v>619</v>
      </c>
      <c r="B1738" t="s">
        <v>136</v>
      </c>
      <c r="C1738" s="3">
        <f t="shared" si="44"/>
        <v>25.035502777777779</v>
      </c>
      <c r="D1738" s="3">
        <f t="shared" si="45"/>
        <v>121.08274999999999</v>
      </c>
      <c r="E1738" t="s">
        <v>15</v>
      </c>
      <c r="F1738" t="s">
        <v>19</v>
      </c>
      <c r="G1738" t="s">
        <v>214</v>
      </c>
      <c r="I1738" t="s">
        <v>12</v>
      </c>
      <c r="J1738" t="s">
        <v>12</v>
      </c>
      <c r="K1738" t="s">
        <v>12</v>
      </c>
      <c r="L1738" t="s">
        <v>624</v>
      </c>
      <c r="M1738" t="s">
        <v>868</v>
      </c>
      <c r="O1738">
        <v>35</v>
      </c>
      <c r="FT1738">
        <v>1</v>
      </c>
    </row>
    <row r="1739" spans="1:182" x14ac:dyDescent="0.25">
      <c r="A1739" t="s">
        <v>619</v>
      </c>
      <c r="B1739" t="s">
        <v>136</v>
      </c>
      <c r="C1739" s="3">
        <f t="shared" si="44"/>
        <v>25.035502777777779</v>
      </c>
      <c r="D1739" s="3">
        <f t="shared" si="45"/>
        <v>121.08274999999999</v>
      </c>
      <c r="E1739" t="s">
        <v>15</v>
      </c>
      <c r="F1739" t="s">
        <v>19</v>
      </c>
      <c r="G1739" t="s">
        <v>214</v>
      </c>
      <c r="I1739" t="s">
        <v>12</v>
      </c>
      <c r="J1739" t="s">
        <v>12</v>
      </c>
      <c r="K1739" t="s">
        <v>12</v>
      </c>
      <c r="L1739" t="s">
        <v>624</v>
      </c>
      <c r="M1739" t="s">
        <v>868</v>
      </c>
      <c r="O1739">
        <v>27</v>
      </c>
      <c r="FU1739">
        <v>1</v>
      </c>
    </row>
    <row r="1740" spans="1:182" x14ac:dyDescent="0.25">
      <c r="A1740" t="s">
        <v>619</v>
      </c>
      <c r="B1740" t="s">
        <v>136</v>
      </c>
      <c r="C1740" s="3">
        <f t="shared" si="44"/>
        <v>25.035502777777779</v>
      </c>
      <c r="D1740" s="3">
        <f t="shared" si="45"/>
        <v>121.08274999999999</v>
      </c>
      <c r="E1740" t="s">
        <v>15</v>
      </c>
      <c r="F1740" t="s">
        <v>19</v>
      </c>
      <c r="G1740" t="s">
        <v>214</v>
      </c>
      <c r="I1740" t="s">
        <v>12</v>
      </c>
      <c r="J1740" t="s">
        <v>12</v>
      </c>
      <c r="K1740" t="s">
        <v>12</v>
      </c>
      <c r="L1740" t="s">
        <v>624</v>
      </c>
      <c r="M1740" t="s">
        <v>868</v>
      </c>
      <c r="O1740">
        <v>18</v>
      </c>
      <c r="FV1740">
        <v>1</v>
      </c>
    </row>
    <row r="1741" spans="1:182" x14ac:dyDescent="0.25">
      <c r="A1741" t="s">
        <v>619</v>
      </c>
      <c r="B1741" t="s">
        <v>136</v>
      </c>
      <c r="C1741" s="3">
        <f t="shared" si="44"/>
        <v>25.035502777777779</v>
      </c>
      <c r="D1741" s="3">
        <f t="shared" si="45"/>
        <v>121.08274999999999</v>
      </c>
      <c r="E1741" t="s">
        <v>15</v>
      </c>
      <c r="F1741" t="s">
        <v>19</v>
      </c>
      <c r="G1741" t="s">
        <v>214</v>
      </c>
      <c r="I1741" t="s">
        <v>12</v>
      </c>
      <c r="J1741" t="s">
        <v>12</v>
      </c>
      <c r="K1741" t="s">
        <v>12</v>
      </c>
      <c r="L1741" t="s">
        <v>624</v>
      </c>
      <c r="M1741" t="s">
        <v>868</v>
      </c>
      <c r="O1741">
        <v>15</v>
      </c>
      <c r="FW1741">
        <v>1</v>
      </c>
    </row>
    <row r="1742" spans="1:182" x14ac:dyDescent="0.25">
      <c r="A1742" t="s">
        <v>619</v>
      </c>
      <c r="B1742" t="s">
        <v>136</v>
      </c>
      <c r="C1742" s="3">
        <f t="shared" si="44"/>
        <v>25.035502777777779</v>
      </c>
      <c r="D1742" s="3">
        <f t="shared" si="45"/>
        <v>121.08274999999999</v>
      </c>
      <c r="E1742" t="s">
        <v>15</v>
      </c>
      <c r="F1742" t="s">
        <v>19</v>
      </c>
      <c r="G1742" t="s">
        <v>214</v>
      </c>
      <c r="I1742" t="s">
        <v>12</v>
      </c>
      <c r="J1742" t="s">
        <v>12</v>
      </c>
      <c r="K1742" t="s">
        <v>12</v>
      </c>
      <c r="L1742" t="s">
        <v>624</v>
      </c>
      <c r="M1742" t="s">
        <v>868</v>
      </c>
      <c r="O1742">
        <v>22</v>
      </c>
      <c r="FX1742">
        <v>1</v>
      </c>
    </row>
    <row r="1743" spans="1:182" x14ac:dyDescent="0.25">
      <c r="A1743" t="s">
        <v>619</v>
      </c>
      <c r="B1743" t="s">
        <v>136</v>
      </c>
      <c r="C1743" s="3">
        <f t="shared" si="44"/>
        <v>25.035502777777779</v>
      </c>
      <c r="D1743" s="3">
        <f t="shared" si="45"/>
        <v>121.08274999999999</v>
      </c>
      <c r="E1743" t="s">
        <v>15</v>
      </c>
      <c r="F1743" t="s">
        <v>19</v>
      </c>
      <c r="G1743" t="s">
        <v>214</v>
      </c>
      <c r="I1743" t="s">
        <v>12</v>
      </c>
      <c r="J1743" t="s">
        <v>12</v>
      </c>
      <c r="K1743" t="s">
        <v>12</v>
      </c>
      <c r="L1743" t="s">
        <v>624</v>
      </c>
      <c r="M1743" t="s">
        <v>868</v>
      </c>
      <c r="O1743">
        <v>31</v>
      </c>
      <c r="FY1743">
        <v>1</v>
      </c>
    </row>
    <row r="1744" spans="1:182" x14ac:dyDescent="0.25">
      <c r="A1744" t="s">
        <v>619</v>
      </c>
      <c r="B1744" t="s">
        <v>136</v>
      </c>
      <c r="C1744" s="3">
        <f t="shared" si="44"/>
        <v>25.035502777777779</v>
      </c>
      <c r="D1744" s="3">
        <f t="shared" si="45"/>
        <v>121.08274999999999</v>
      </c>
      <c r="E1744" t="s">
        <v>15</v>
      </c>
      <c r="F1744" t="s">
        <v>19</v>
      </c>
      <c r="G1744" t="s">
        <v>214</v>
      </c>
      <c r="I1744" t="s">
        <v>12</v>
      </c>
      <c r="J1744" t="s">
        <v>12</v>
      </c>
      <c r="K1744" t="s">
        <v>12</v>
      </c>
      <c r="L1744" t="s">
        <v>624</v>
      </c>
      <c r="M1744" t="s">
        <v>868</v>
      </c>
      <c r="O1744">
        <v>30</v>
      </c>
      <c r="FZ1744">
        <v>1</v>
      </c>
    </row>
    <row r="1745" spans="1:184" x14ac:dyDescent="0.25">
      <c r="A1745" t="s">
        <v>619</v>
      </c>
      <c r="B1745" t="s">
        <v>136</v>
      </c>
      <c r="C1745" s="3">
        <f t="shared" si="44"/>
        <v>25.035502777777779</v>
      </c>
      <c r="D1745" s="3">
        <f t="shared" si="45"/>
        <v>121.08274999999999</v>
      </c>
      <c r="E1745" t="s">
        <v>15</v>
      </c>
      <c r="F1745" t="s">
        <v>19</v>
      </c>
      <c r="G1745" t="s">
        <v>214</v>
      </c>
      <c r="I1745" t="s">
        <v>12</v>
      </c>
      <c r="J1745" t="s">
        <v>12</v>
      </c>
      <c r="K1745" t="s">
        <v>12</v>
      </c>
      <c r="L1745" t="s">
        <v>624</v>
      </c>
      <c r="M1745" t="s">
        <v>868</v>
      </c>
      <c r="O1745">
        <v>21</v>
      </c>
      <c r="GA1745">
        <v>1</v>
      </c>
    </row>
    <row r="1746" spans="1:184" x14ac:dyDescent="0.25">
      <c r="A1746" t="s">
        <v>619</v>
      </c>
      <c r="B1746" t="s">
        <v>136</v>
      </c>
      <c r="C1746" s="3">
        <f t="shared" si="44"/>
        <v>25.035502777777779</v>
      </c>
      <c r="D1746" s="3">
        <f t="shared" si="45"/>
        <v>121.08274999999999</v>
      </c>
      <c r="E1746" t="s">
        <v>15</v>
      </c>
      <c r="F1746" t="s">
        <v>19</v>
      </c>
      <c r="G1746" t="s">
        <v>214</v>
      </c>
      <c r="I1746" t="s">
        <v>12</v>
      </c>
      <c r="J1746" t="s">
        <v>12</v>
      </c>
      <c r="K1746" t="s">
        <v>12</v>
      </c>
      <c r="L1746" t="s">
        <v>624</v>
      </c>
      <c r="M1746" t="s">
        <v>868</v>
      </c>
      <c r="O1746">
        <v>29</v>
      </c>
      <c r="GB1746">
        <v>1</v>
      </c>
    </row>
    <row r="1747" spans="1:184" x14ac:dyDescent="0.25">
      <c r="A1747" t="s">
        <v>622</v>
      </c>
      <c r="B1747" t="s">
        <v>136</v>
      </c>
      <c r="C1747" s="3">
        <v>24</v>
      </c>
      <c r="D1747" s="3">
        <v>121.6</v>
      </c>
      <c r="E1747" t="s">
        <v>12</v>
      </c>
      <c r="F1747" t="s">
        <v>77</v>
      </c>
      <c r="G1747" t="s">
        <v>97</v>
      </c>
      <c r="I1747" t="s">
        <v>15</v>
      </c>
      <c r="J1747" t="s">
        <v>12</v>
      </c>
      <c r="K1747" t="s">
        <v>12</v>
      </c>
      <c r="L1747" t="s">
        <v>776</v>
      </c>
      <c r="M1747" t="s">
        <v>834</v>
      </c>
      <c r="O1747">
        <v>26.6</v>
      </c>
      <c r="P1747">
        <v>2.6</v>
      </c>
      <c r="DI1747">
        <v>1</v>
      </c>
      <c r="DJ1747">
        <v>1</v>
      </c>
      <c r="DK1747">
        <v>1</v>
      </c>
      <c r="DL1747">
        <v>1</v>
      </c>
      <c r="DM1747">
        <v>1</v>
      </c>
      <c r="DN1747">
        <v>1</v>
      </c>
      <c r="DO1747">
        <v>1</v>
      </c>
      <c r="DP1747">
        <v>1</v>
      </c>
      <c r="DQ1747">
        <v>1</v>
      </c>
      <c r="DR1747">
        <v>1</v>
      </c>
      <c r="DS1747">
        <v>1</v>
      </c>
      <c r="DT1747">
        <v>1</v>
      </c>
    </row>
    <row r="1748" spans="1:184" x14ac:dyDescent="0.25">
      <c r="A1748" t="s">
        <v>622</v>
      </c>
      <c r="B1748" t="s">
        <v>136</v>
      </c>
      <c r="C1748" s="3">
        <v>24</v>
      </c>
      <c r="D1748" s="3">
        <v>121.6</v>
      </c>
      <c r="E1748" t="s">
        <v>12</v>
      </c>
      <c r="F1748" t="s">
        <v>77</v>
      </c>
      <c r="G1748" t="s">
        <v>97</v>
      </c>
      <c r="I1748" t="s">
        <v>15</v>
      </c>
      <c r="J1748" t="s">
        <v>12</v>
      </c>
      <c r="K1748" t="s">
        <v>12</v>
      </c>
      <c r="L1748" t="s">
        <v>776</v>
      </c>
      <c r="M1748" t="s">
        <v>834</v>
      </c>
      <c r="O1748">
        <v>19.3</v>
      </c>
      <c r="P1748">
        <v>1.3</v>
      </c>
      <c r="DU1748">
        <v>1</v>
      </c>
      <c r="DV1748">
        <v>1</v>
      </c>
      <c r="DW1748">
        <v>1</v>
      </c>
      <c r="DX1748">
        <v>1</v>
      </c>
      <c r="DY1748">
        <v>1</v>
      </c>
      <c r="DZ1748">
        <v>1</v>
      </c>
      <c r="EA1748">
        <v>1</v>
      </c>
      <c r="EB1748">
        <v>1</v>
      </c>
      <c r="EC1748">
        <v>1</v>
      </c>
      <c r="ED1748">
        <v>1</v>
      </c>
      <c r="EE1748">
        <v>1</v>
      </c>
      <c r="EF1748">
        <v>1</v>
      </c>
    </row>
    <row r="1749" spans="1:184" x14ac:dyDescent="0.25">
      <c r="A1749" t="s">
        <v>622</v>
      </c>
      <c r="B1749" t="s">
        <v>136</v>
      </c>
      <c r="C1749" s="3">
        <v>24</v>
      </c>
      <c r="D1749" s="3">
        <v>121.6</v>
      </c>
      <c r="E1749" t="s">
        <v>12</v>
      </c>
      <c r="F1749" t="s">
        <v>77</v>
      </c>
      <c r="G1749" t="s">
        <v>97</v>
      </c>
      <c r="I1749" t="s">
        <v>15</v>
      </c>
      <c r="J1749" t="s">
        <v>12</v>
      </c>
      <c r="K1749" t="s">
        <v>12</v>
      </c>
      <c r="L1749" t="s">
        <v>776</v>
      </c>
      <c r="M1749" t="s">
        <v>834</v>
      </c>
      <c r="O1749">
        <v>24.7</v>
      </c>
      <c r="P1749">
        <v>1.9</v>
      </c>
      <c r="EG1749">
        <v>1</v>
      </c>
      <c r="EH1749">
        <v>1</v>
      </c>
      <c r="EI1749">
        <v>1</v>
      </c>
      <c r="EJ1749">
        <v>1</v>
      </c>
      <c r="EK1749">
        <v>1</v>
      </c>
      <c r="EL1749">
        <v>1</v>
      </c>
      <c r="EM1749">
        <v>1</v>
      </c>
      <c r="EN1749">
        <v>1</v>
      </c>
      <c r="EO1749">
        <v>1</v>
      </c>
      <c r="EP1749">
        <v>1</v>
      </c>
      <c r="EQ1749">
        <v>1</v>
      </c>
      <c r="ER1749">
        <v>1</v>
      </c>
    </row>
    <row r="1750" spans="1:184" x14ac:dyDescent="0.25">
      <c r="A1750" t="s">
        <v>622</v>
      </c>
      <c r="B1750" t="s">
        <v>136</v>
      </c>
      <c r="C1750" s="3">
        <v>24</v>
      </c>
      <c r="D1750" s="3">
        <v>121.6</v>
      </c>
      <c r="E1750" t="s">
        <v>12</v>
      </c>
      <c r="F1750" t="s">
        <v>77</v>
      </c>
      <c r="G1750" t="s">
        <v>97</v>
      </c>
      <c r="I1750" t="s">
        <v>15</v>
      </c>
      <c r="J1750" t="s">
        <v>12</v>
      </c>
      <c r="K1750" t="s">
        <v>12</v>
      </c>
      <c r="L1750" t="s">
        <v>776</v>
      </c>
      <c r="M1750" t="s">
        <v>834</v>
      </c>
      <c r="O1750">
        <v>21.6</v>
      </c>
      <c r="P1750">
        <v>1.8</v>
      </c>
      <c r="ES1750">
        <v>1</v>
      </c>
      <c r="ET1750">
        <v>1</v>
      </c>
      <c r="EU1750">
        <v>1</v>
      </c>
      <c r="EV1750">
        <v>1</v>
      </c>
      <c r="EW1750">
        <v>1</v>
      </c>
      <c r="EX1750">
        <v>1</v>
      </c>
      <c r="EY1750">
        <v>1</v>
      </c>
      <c r="EZ1750">
        <v>1</v>
      </c>
      <c r="FA1750">
        <v>1</v>
      </c>
      <c r="FB1750">
        <v>1</v>
      </c>
      <c r="FC1750">
        <v>1</v>
      </c>
      <c r="FD1750">
        <v>1</v>
      </c>
    </row>
    <row r="1751" spans="1:184" x14ac:dyDescent="0.25">
      <c r="A1751" t="s">
        <v>622</v>
      </c>
      <c r="B1751" t="s">
        <v>136</v>
      </c>
      <c r="C1751" s="3">
        <v>24</v>
      </c>
      <c r="D1751" s="3">
        <v>121.6</v>
      </c>
      <c r="E1751" t="s">
        <v>12</v>
      </c>
      <c r="F1751" t="s">
        <v>77</v>
      </c>
      <c r="G1751" t="s">
        <v>97</v>
      </c>
      <c r="I1751" t="s">
        <v>15</v>
      </c>
      <c r="J1751" t="s">
        <v>12</v>
      </c>
      <c r="K1751" t="s">
        <v>12</v>
      </c>
      <c r="L1751" t="s">
        <v>776</v>
      </c>
      <c r="M1751" t="s">
        <v>834</v>
      </c>
      <c r="O1751">
        <v>18.2</v>
      </c>
      <c r="P1751">
        <v>1.5</v>
      </c>
      <c r="FE1751">
        <v>1</v>
      </c>
      <c r="FF1751">
        <v>1</v>
      </c>
      <c r="FG1751">
        <v>1</v>
      </c>
      <c r="FH1751">
        <v>1</v>
      </c>
      <c r="FI1751">
        <v>1</v>
      </c>
      <c r="FJ1751">
        <v>1</v>
      </c>
      <c r="FK1751">
        <v>1</v>
      </c>
      <c r="FL1751">
        <v>1</v>
      </c>
      <c r="FM1751">
        <v>1</v>
      </c>
      <c r="FN1751">
        <v>1</v>
      </c>
      <c r="FO1751">
        <v>1</v>
      </c>
      <c r="FP1751">
        <v>1</v>
      </c>
    </row>
    <row r="1752" spans="1:184" x14ac:dyDescent="0.25">
      <c r="A1752" t="s">
        <v>622</v>
      </c>
      <c r="B1752" t="s">
        <v>136</v>
      </c>
      <c r="C1752" s="3">
        <f t="shared" ref="C1752:C1787" si="46">23+58/60+19/3600</f>
        <v>23.971944444444443</v>
      </c>
      <c r="D1752" s="3">
        <f t="shared" ref="D1752:D1787" si="47">121+35/60+59.2/3600</f>
        <v>121.59977777777777</v>
      </c>
      <c r="E1752" t="s">
        <v>15</v>
      </c>
      <c r="F1752" t="s">
        <v>19</v>
      </c>
      <c r="G1752" t="s">
        <v>214</v>
      </c>
      <c r="I1752" t="s">
        <v>12</v>
      </c>
      <c r="J1752" t="s">
        <v>12</v>
      </c>
      <c r="K1752" t="s">
        <v>12</v>
      </c>
      <c r="L1752" t="s">
        <v>624</v>
      </c>
      <c r="M1752" t="s">
        <v>868</v>
      </c>
      <c r="O1752">
        <v>19</v>
      </c>
      <c r="ES1752">
        <v>1</v>
      </c>
    </row>
    <row r="1753" spans="1:184" x14ac:dyDescent="0.25">
      <c r="A1753" t="s">
        <v>622</v>
      </c>
      <c r="B1753" t="s">
        <v>136</v>
      </c>
      <c r="C1753" s="3">
        <f t="shared" si="46"/>
        <v>23.971944444444443</v>
      </c>
      <c r="D1753" s="3">
        <f t="shared" si="47"/>
        <v>121.59977777777777</v>
      </c>
      <c r="E1753" t="s">
        <v>15</v>
      </c>
      <c r="F1753" t="s">
        <v>19</v>
      </c>
      <c r="G1753" t="s">
        <v>214</v>
      </c>
      <c r="I1753" t="s">
        <v>12</v>
      </c>
      <c r="J1753" t="s">
        <v>12</v>
      </c>
      <c r="K1753" t="s">
        <v>12</v>
      </c>
      <c r="L1753" t="s">
        <v>624</v>
      </c>
      <c r="M1753" t="s">
        <v>868</v>
      </c>
      <c r="O1753">
        <v>20</v>
      </c>
      <c r="ET1753">
        <v>1</v>
      </c>
    </row>
    <row r="1754" spans="1:184" x14ac:dyDescent="0.25">
      <c r="A1754" t="s">
        <v>622</v>
      </c>
      <c r="B1754" t="s">
        <v>136</v>
      </c>
      <c r="C1754" s="3">
        <f t="shared" si="46"/>
        <v>23.971944444444443</v>
      </c>
      <c r="D1754" s="3">
        <f t="shared" si="47"/>
        <v>121.59977777777777</v>
      </c>
      <c r="E1754" t="s">
        <v>15</v>
      </c>
      <c r="F1754" t="s">
        <v>19</v>
      </c>
      <c r="G1754" t="s">
        <v>214</v>
      </c>
      <c r="I1754" t="s">
        <v>12</v>
      </c>
      <c r="J1754" t="s">
        <v>12</v>
      </c>
      <c r="K1754" t="s">
        <v>12</v>
      </c>
      <c r="L1754" t="s">
        <v>624</v>
      </c>
      <c r="M1754" t="s">
        <v>868</v>
      </c>
      <c r="O1754">
        <v>26</v>
      </c>
      <c r="EU1754">
        <v>1</v>
      </c>
    </row>
    <row r="1755" spans="1:184" x14ac:dyDescent="0.25">
      <c r="A1755" t="s">
        <v>622</v>
      </c>
      <c r="B1755" t="s">
        <v>136</v>
      </c>
      <c r="C1755" s="3">
        <f t="shared" si="46"/>
        <v>23.971944444444443</v>
      </c>
      <c r="D1755" s="3">
        <f t="shared" si="47"/>
        <v>121.59977777777777</v>
      </c>
      <c r="E1755" t="s">
        <v>15</v>
      </c>
      <c r="F1755" t="s">
        <v>19</v>
      </c>
      <c r="G1755" t="s">
        <v>214</v>
      </c>
      <c r="I1755" t="s">
        <v>12</v>
      </c>
      <c r="J1755" t="s">
        <v>12</v>
      </c>
      <c r="K1755" t="s">
        <v>12</v>
      </c>
      <c r="L1755" t="s">
        <v>624</v>
      </c>
      <c r="M1755" t="s">
        <v>868</v>
      </c>
      <c r="O1755">
        <v>25</v>
      </c>
      <c r="EV1755">
        <v>1</v>
      </c>
    </row>
    <row r="1756" spans="1:184" x14ac:dyDescent="0.25">
      <c r="A1756" t="s">
        <v>622</v>
      </c>
      <c r="B1756" t="s">
        <v>136</v>
      </c>
      <c r="C1756" s="3">
        <f t="shared" si="46"/>
        <v>23.971944444444443</v>
      </c>
      <c r="D1756" s="3">
        <f t="shared" si="47"/>
        <v>121.59977777777777</v>
      </c>
      <c r="E1756" t="s">
        <v>15</v>
      </c>
      <c r="F1756" t="s">
        <v>19</v>
      </c>
      <c r="G1756" t="s">
        <v>214</v>
      </c>
      <c r="I1756" t="s">
        <v>12</v>
      </c>
      <c r="J1756" t="s">
        <v>12</v>
      </c>
      <c r="K1756" t="s">
        <v>12</v>
      </c>
      <c r="L1756" t="s">
        <v>624</v>
      </c>
      <c r="M1756" t="s">
        <v>868</v>
      </c>
      <c r="O1756">
        <v>23</v>
      </c>
      <c r="EW1756">
        <v>1</v>
      </c>
    </row>
    <row r="1757" spans="1:184" x14ac:dyDescent="0.25">
      <c r="A1757" t="s">
        <v>622</v>
      </c>
      <c r="B1757" t="s">
        <v>136</v>
      </c>
      <c r="C1757" s="3">
        <f t="shared" si="46"/>
        <v>23.971944444444443</v>
      </c>
      <c r="D1757" s="3">
        <f t="shared" si="47"/>
        <v>121.59977777777777</v>
      </c>
      <c r="E1757" t="s">
        <v>15</v>
      </c>
      <c r="F1757" t="s">
        <v>19</v>
      </c>
      <c r="G1757" t="s">
        <v>214</v>
      </c>
      <c r="I1757" t="s">
        <v>12</v>
      </c>
      <c r="J1757" t="s">
        <v>12</v>
      </c>
      <c r="K1757" t="s">
        <v>12</v>
      </c>
      <c r="L1757" t="s">
        <v>624</v>
      </c>
      <c r="M1757" t="s">
        <v>868</v>
      </c>
      <c r="O1757">
        <v>19</v>
      </c>
      <c r="EX1757">
        <v>1</v>
      </c>
    </row>
    <row r="1758" spans="1:184" x14ac:dyDescent="0.25">
      <c r="A1758" t="s">
        <v>622</v>
      </c>
      <c r="B1758" t="s">
        <v>136</v>
      </c>
      <c r="C1758" s="3">
        <f t="shared" si="46"/>
        <v>23.971944444444443</v>
      </c>
      <c r="D1758" s="3">
        <f t="shared" si="47"/>
        <v>121.59977777777777</v>
      </c>
      <c r="E1758" t="s">
        <v>15</v>
      </c>
      <c r="F1758" t="s">
        <v>19</v>
      </c>
      <c r="G1758" t="s">
        <v>214</v>
      </c>
      <c r="I1758" t="s">
        <v>12</v>
      </c>
      <c r="J1758" t="s">
        <v>12</v>
      </c>
      <c r="K1758" t="s">
        <v>12</v>
      </c>
      <c r="L1758" t="s">
        <v>624</v>
      </c>
      <c r="M1758" t="s">
        <v>868</v>
      </c>
      <c r="O1758">
        <v>15</v>
      </c>
      <c r="EY1758">
        <v>1</v>
      </c>
    </row>
    <row r="1759" spans="1:184" x14ac:dyDescent="0.25">
      <c r="A1759" t="s">
        <v>622</v>
      </c>
      <c r="B1759" t="s">
        <v>136</v>
      </c>
      <c r="C1759" s="3">
        <f t="shared" si="46"/>
        <v>23.971944444444443</v>
      </c>
      <c r="D1759" s="3">
        <f t="shared" si="47"/>
        <v>121.59977777777777</v>
      </c>
      <c r="E1759" t="s">
        <v>15</v>
      </c>
      <c r="F1759" t="s">
        <v>19</v>
      </c>
      <c r="G1759" t="s">
        <v>214</v>
      </c>
      <c r="I1759" t="s">
        <v>12</v>
      </c>
      <c r="J1759" t="s">
        <v>12</v>
      </c>
      <c r="K1759" t="s">
        <v>12</v>
      </c>
      <c r="L1759" t="s">
        <v>624</v>
      </c>
      <c r="M1759" t="s">
        <v>868</v>
      </c>
      <c r="O1759">
        <v>20</v>
      </c>
      <c r="EZ1759">
        <v>1</v>
      </c>
    </row>
    <row r="1760" spans="1:184" x14ac:dyDescent="0.25">
      <c r="A1760" t="s">
        <v>622</v>
      </c>
      <c r="B1760" t="s">
        <v>136</v>
      </c>
      <c r="C1760" s="3">
        <f t="shared" si="46"/>
        <v>23.971944444444443</v>
      </c>
      <c r="D1760" s="3">
        <f t="shared" si="47"/>
        <v>121.59977777777777</v>
      </c>
      <c r="E1760" t="s">
        <v>15</v>
      </c>
      <c r="F1760" t="s">
        <v>19</v>
      </c>
      <c r="G1760" t="s">
        <v>214</v>
      </c>
      <c r="I1760" t="s">
        <v>12</v>
      </c>
      <c r="J1760" t="s">
        <v>12</v>
      </c>
      <c r="K1760" t="s">
        <v>12</v>
      </c>
      <c r="L1760" t="s">
        <v>624</v>
      </c>
      <c r="M1760" t="s">
        <v>868</v>
      </c>
      <c r="O1760">
        <v>23</v>
      </c>
      <c r="FA1760">
        <v>1</v>
      </c>
    </row>
    <row r="1761" spans="1:173" x14ac:dyDescent="0.25">
      <c r="A1761" t="s">
        <v>622</v>
      </c>
      <c r="B1761" t="s">
        <v>136</v>
      </c>
      <c r="C1761" s="3">
        <f t="shared" si="46"/>
        <v>23.971944444444443</v>
      </c>
      <c r="D1761" s="3">
        <f t="shared" si="47"/>
        <v>121.59977777777777</v>
      </c>
      <c r="E1761" t="s">
        <v>15</v>
      </c>
      <c r="F1761" t="s">
        <v>19</v>
      </c>
      <c r="G1761" t="s">
        <v>214</v>
      </c>
      <c r="I1761" t="s">
        <v>12</v>
      </c>
      <c r="J1761" t="s">
        <v>12</v>
      </c>
      <c r="K1761" t="s">
        <v>12</v>
      </c>
      <c r="L1761" t="s">
        <v>624</v>
      </c>
      <c r="M1761" t="s">
        <v>868</v>
      </c>
      <c r="O1761">
        <v>27</v>
      </c>
      <c r="FB1761">
        <v>1</v>
      </c>
    </row>
    <row r="1762" spans="1:173" x14ac:dyDescent="0.25">
      <c r="A1762" t="s">
        <v>622</v>
      </c>
      <c r="B1762" t="s">
        <v>136</v>
      </c>
      <c r="C1762" s="3">
        <f t="shared" si="46"/>
        <v>23.971944444444443</v>
      </c>
      <c r="D1762" s="3">
        <f t="shared" si="47"/>
        <v>121.59977777777777</v>
      </c>
      <c r="E1762" t="s">
        <v>15</v>
      </c>
      <c r="F1762" t="s">
        <v>19</v>
      </c>
      <c r="G1762" t="s">
        <v>214</v>
      </c>
      <c r="I1762" t="s">
        <v>12</v>
      </c>
      <c r="J1762" t="s">
        <v>12</v>
      </c>
      <c r="K1762" t="s">
        <v>12</v>
      </c>
      <c r="L1762" t="s">
        <v>624</v>
      </c>
      <c r="M1762" t="s">
        <v>868</v>
      </c>
      <c r="O1762">
        <v>24</v>
      </c>
      <c r="FC1762">
        <v>1</v>
      </c>
    </row>
    <row r="1763" spans="1:173" x14ac:dyDescent="0.25">
      <c r="A1763" t="s">
        <v>622</v>
      </c>
      <c r="B1763" t="s">
        <v>136</v>
      </c>
      <c r="C1763" s="3">
        <f t="shared" si="46"/>
        <v>23.971944444444443</v>
      </c>
      <c r="D1763" s="3">
        <f t="shared" si="47"/>
        <v>121.59977777777777</v>
      </c>
      <c r="E1763" t="s">
        <v>15</v>
      </c>
      <c r="F1763" t="s">
        <v>19</v>
      </c>
      <c r="G1763" t="s">
        <v>214</v>
      </c>
      <c r="I1763" t="s">
        <v>12</v>
      </c>
      <c r="J1763" t="s">
        <v>12</v>
      </c>
      <c r="K1763" t="s">
        <v>12</v>
      </c>
      <c r="L1763" t="s">
        <v>624</v>
      </c>
      <c r="M1763" t="s">
        <v>868</v>
      </c>
      <c r="O1763">
        <v>18</v>
      </c>
      <c r="FD1763">
        <v>1</v>
      </c>
    </row>
    <row r="1764" spans="1:173" x14ac:dyDescent="0.25">
      <c r="A1764" t="s">
        <v>622</v>
      </c>
      <c r="B1764" t="s">
        <v>136</v>
      </c>
      <c r="C1764" s="3">
        <f t="shared" si="46"/>
        <v>23.971944444444443</v>
      </c>
      <c r="D1764" s="3">
        <f t="shared" si="47"/>
        <v>121.59977777777777</v>
      </c>
      <c r="E1764" t="s">
        <v>15</v>
      </c>
      <c r="F1764" t="s">
        <v>19</v>
      </c>
      <c r="G1764" t="s">
        <v>214</v>
      </c>
      <c r="I1764" t="s">
        <v>12</v>
      </c>
      <c r="J1764" t="s">
        <v>12</v>
      </c>
      <c r="K1764" t="s">
        <v>12</v>
      </c>
      <c r="L1764" t="s">
        <v>624</v>
      </c>
      <c r="M1764" t="s">
        <v>868</v>
      </c>
      <c r="O1764">
        <v>22</v>
      </c>
      <c r="FE1764">
        <v>1</v>
      </c>
    </row>
    <row r="1765" spans="1:173" x14ac:dyDescent="0.25">
      <c r="A1765" t="s">
        <v>622</v>
      </c>
      <c r="B1765" t="s">
        <v>136</v>
      </c>
      <c r="C1765" s="3">
        <f t="shared" si="46"/>
        <v>23.971944444444443</v>
      </c>
      <c r="D1765" s="3">
        <f t="shared" si="47"/>
        <v>121.59977777777777</v>
      </c>
      <c r="E1765" t="s">
        <v>15</v>
      </c>
      <c r="F1765" t="s">
        <v>19</v>
      </c>
      <c r="G1765" t="s">
        <v>214</v>
      </c>
      <c r="I1765" t="s">
        <v>12</v>
      </c>
      <c r="J1765" t="s">
        <v>12</v>
      </c>
      <c r="K1765" t="s">
        <v>12</v>
      </c>
      <c r="L1765" t="s">
        <v>624</v>
      </c>
      <c r="M1765" t="s">
        <v>868</v>
      </c>
      <c r="O1765">
        <v>26</v>
      </c>
      <c r="FF1765">
        <v>1</v>
      </c>
    </row>
    <row r="1766" spans="1:173" x14ac:dyDescent="0.25">
      <c r="A1766" t="s">
        <v>622</v>
      </c>
      <c r="B1766" t="s">
        <v>136</v>
      </c>
      <c r="C1766" s="3">
        <f t="shared" si="46"/>
        <v>23.971944444444443</v>
      </c>
      <c r="D1766" s="3">
        <f t="shared" si="47"/>
        <v>121.59977777777777</v>
      </c>
      <c r="E1766" t="s">
        <v>15</v>
      </c>
      <c r="F1766" t="s">
        <v>19</v>
      </c>
      <c r="G1766" t="s">
        <v>214</v>
      </c>
      <c r="I1766" t="s">
        <v>12</v>
      </c>
      <c r="J1766" t="s">
        <v>12</v>
      </c>
      <c r="K1766" t="s">
        <v>12</v>
      </c>
      <c r="L1766" t="s">
        <v>624</v>
      </c>
      <c r="M1766" t="s">
        <v>868</v>
      </c>
      <c r="O1766">
        <v>22</v>
      </c>
      <c r="FG1766">
        <v>1</v>
      </c>
    </row>
    <row r="1767" spans="1:173" x14ac:dyDescent="0.25">
      <c r="A1767" t="s">
        <v>622</v>
      </c>
      <c r="B1767" t="s">
        <v>136</v>
      </c>
      <c r="C1767" s="3">
        <f t="shared" si="46"/>
        <v>23.971944444444443</v>
      </c>
      <c r="D1767" s="3">
        <f t="shared" si="47"/>
        <v>121.59977777777777</v>
      </c>
      <c r="E1767" t="s">
        <v>15</v>
      </c>
      <c r="F1767" t="s">
        <v>19</v>
      </c>
      <c r="G1767" t="s">
        <v>214</v>
      </c>
      <c r="I1767" t="s">
        <v>12</v>
      </c>
      <c r="J1767" t="s">
        <v>12</v>
      </c>
      <c r="K1767" t="s">
        <v>12</v>
      </c>
      <c r="L1767" t="s">
        <v>624</v>
      </c>
      <c r="M1767" t="s">
        <v>868</v>
      </c>
      <c r="O1767">
        <v>20</v>
      </c>
      <c r="FH1767">
        <v>1</v>
      </c>
    </row>
    <row r="1768" spans="1:173" x14ac:dyDescent="0.25">
      <c r="A1768" t="s">
        <v>622</v>
      </c>
      <c r="B1768" t="s">
        <v>136</v>
      </c>
      <c r="C1768" s="3">
        <f t="shared" si="46"/>
        <v>23.971944444444443</v>
      </c>
      <c r="D1768" s="3">
        <f t="shared" si="47"/>
        <v>121.59977777777777</v>
      </c>
      <c r="E1768" t="s">
        <v>15</v>
      </c>
      <c r="F1768" t="s">
        <v>19</v>
      </c>
      <c r="G1768" t="s">
        <v>214</v>
      </c>
      <c r="I1768" t="s">
        <v>12</v>
      </c>
      <c r="J1768" t="s">
        <v>12</v>
      </c>
      <c r="K1768" t="s">
        <v>12</v>
      </c>
      <c r="L1768" t="s">
        <v>624</v>
      </c>
      <c r="M1768" t="s">
        <v>868</v>
      </c>
      <c r="O1768">
        <v>25</v>
      </c>
      <c r="FI1768">
        <v>1</v>
      </c>
    </row>
    <row r="1769" spans="1:173" x14ac:dyDescent="0.25">
      <c r="A1769" t="s">
        <v>622</v>
      </c>
      <c r="B1769" t="s">
        <v>136</v>
      </c>
      <c r="C1769" s="3">
        <f t="shared" si="46"/>
        <v>23.971944444444443</v>
      </c>
      <c r="D1769" s="3">
        <f t="shared" si="47"/>
        <v>121.59977777777777</v>
      </c>
      <c r="E1769" t="s">
        <v>15</v>
      </c>
      <c r="F1769" t="s">
        <v>19</v>
      </c>
      <c r="G1769" t="s">
        <v>214</v>
      </c>
      <c r="I1769" t="s">
        <v>12</v>
      </c>
      <c r="J1769" t="s">
        <v>12</v>
      </c>
      <c r="K1769" t="s">
        <v>12</v>
      </c>
      <c r="L1769" t="s">
        <v>624</v>
      </c>
      <c r="M1769" t="s">
        <v>868</v>
      </c>
      <c r="O1769">
        <v>14</v>
      </c>
      <c r="FJ1769">
        <v>1</v>
      </c>
    </row>
    <row r="1770" spans="1:173" x14ac:dyDescent="0.25">
      <c r="A1770" t="s">
        <v>622</v>
      </c>
      <c r="B1770" t="s">
        <v>136</v>
      </c>
      <c r="C1770" s="3">
        <f t="shared" si="46"/>
        <v>23.971944444444443</v>
      </c>
      <c r="D1770" s="3">
        <f t="shared" si="47"/>
        <v>121.59977777777777</v>
      </c>
      <c r="E1770" t="s">
        <v>15</v>
      </c>
      <c r="F1770" t="s">
        <v>19</v>
      </c>
      <c r="G1770" t="s">
        <v>214</v>
      </c>
      <c r="I1770" t="s">
        <v>12</v>
      </c>
      <c r="J1770" t="s">
        <v>12</v>
      </c>
      <c r="K1770" t="s">
        <v>12</v>
      </c>
      <c r="L1770" t="s">
        <v>624</v>
      </c>
      <c r="M1770" t="s">
        <v>868</v>
      </c>
      <c r="O1770">
        <v>20</v>
      </c>
      <c r="FK1770">
        <v>1</v>
      </c>
    </row>
    <row r="1771" spans="1:173" x14ac:dyDescent="0.25">
      <c r="A1771" t="s">
        <v>622</v>
      </c>
      <c r="B1771" t="s">
        <v>136</v>
      </c>
      <c r="C1771" s="3">
        <f t="shared" si="46"/>
        <v>23.971944444444443</v>
      </c>
      <c r="D1771" s="3">
        <f t="shared" si="47"/>
        <v>121.59977777777777</v>
      </c>
      <c r="E1771" t="s">
        <v>15</v>
      </c>
      <c r="F1771" t="s">
        <v>19</v>
      </c>
      <c r="G1771" t="s">
        <v>214</v>
      </c>
      <c r="I1771" t="s">
        <v>12</v>
      </c>
      <c r="J1771" t="s">
        <v>12</v>
      </c>
      <c r="K1771" t="s">
        <v>12</v>
      </c>
      <c r="L1771" t="s">
        <v>624</v>
      </c>
      <c r="M1771" t="s">
        <v>868</v>
      </c>
      <c r="O1771">
        <v>16</v>
      </c>
      <c r="FL1771">
        <v>1</v>
      </c>
    </row>
    <row r="1772" spans="1:173" x14ac:dyDescent="0.25">
      <c r="A1772" t="s">
        <v>622</v>
      </c>
      <c r="B1772" t="s">
        <v>136</v>
      </c>
      <c r="C1772" s="3">
        <f t="shared" si="46"/>
        <v>23.971944444444443</v>
      </c>
      <c r="D1772" s="3">
        <f t="shared" si="47"/>
        <v>121.59977777777777</v>
      </c>
      <c r="E1772" t="s">
        <v>15</v>
      </c>
      <c r="F1772" t="s">
        <v>19</v>
      </c>
      <c r="G1772" t="s">
        <v>214</v>
      </c>
      <c r="I1772" t="s">
        <v>12</v>
      </c>
      <c r="J1772" t="s">
        <v>12</v>
      </c>
      <c r="K1772" t="s">
        <v>12</v>
      </c>
      <c r="L1772" t="s">
        <v>624</v>
      </c>
      <c r="M1772" t="s">
        <v>868</v>
      </c>
      <c r="O1772">
        <v>24</v>
      </c>
      <c r="FM1772">
        <v>1</v>
      </c>
    </row>
    <row r="1773" spans="1:173" x14ac:dyDescent="0.25">
      <c r="A1773" t="s">
        <v>622</v>
      </c>
      <c r="B1773" t="s">
        <v>136</v>
      </c>
      <c r="C1773" s="3">
        <f t="shared" si="46"/>
        <v>23.971944444444443</v>
      </c>
      <c r="D1773" s="3">
        <f t="shared" si="47"/>
        <v>121.59977777777777</v>
      </c>
      <c r="E1773" t="s">
        <v>15</v>
      </c>
      <c r="F1773" t="s">
        <v>19</v>
      </c>
      <c r="G1773" t="s">
        <v>214</v>
      </c>
      <c r="I1773" t="s">
        <v>12</v>
      </c>
      <c r="J1773" t="s">
        <v>12</v>
      </c>
      <c r="K1773" t="s">
        <v>12</v>
      </c>
      <c r="L1773" t="s">
        <v>624</v>
      </c>
      <c r="M1773" t="s">
        <v>868</v>
      </c>
      <c r="O1773">
        <v>16</v>
      </c>
      <c r="FN1773">
        <v>1</v>
      </c>
    </row>
    <row r="1774" spans="1:173" x14ac:dyDescent="0.25">
      <c r="A1774" t="s">
        <v>622</v>
      </c>
      <c r="B1774" t="s">
        <v>136</v>
      </c>
      <c r="C1774" s="3">
        <f t="shared" si="46"/>
        <v>23.971944444444443</v>
      </c>
      <c r="D1774" s="3">
        <f t="shared" si="47"/>
        <v>121.59977777777777</v>
      </c>
      <c r="E1774" t="s">
        <v>15</v>
      </c>
      <c r="F1774" t="s">
        <v>19</v>
      </c>
      <c r="G1774" t="s">
        <v>214</v>
      </c>
      <c r="I1774" t="s">
        <v>12</v>
      </c>
      <c r="J1774" t="s">
        <v>12</v>
      </c>
      <c r="K1774" t="s">
        <v>12</v>
      </c>
      <c r="L1774" t="s">
        <v>624</v>
      </c>
      <c r="M1774" t="s">
        <v>868</v>
      </c>
      <c r="O1774">
        <v>12</v>
      </c>
      <c r="FO1774">
        <v>1</v>
      </c>
    </row>
    <row r="1775" spans="1:173" x14ac:dyDescent="0.25">
      <c r="A1775" t="s">
        <v>622</v>
      </c>
      <c r="B1775" t="s">
        <v>136</v>
      </c>
      <c r="C1775" s="3">
        <f t="shared" si="46"/>
        <v>23.971944444444443</v>
      </c>
      <c r="D1775" s="3">
        <f t="shared" si="47"/>
        <v>121.59977777777777</v>
      </c>
      <c r="E1775" t="s">
        <v>15</v>
      </c>
      <c r="F1775" t="s">
        <v>19</v>
      </c>
      <c r="G1775" t="s">
        <v>214</v>
      </c>
      <c r="I1775" t="s">
        <v>12</v>
      </c>
      <c r="J1775" t="s">
        <v>12</v>
      </c>
      <c r="K1775" t="s">
        <v>12</v>
      </c>
      <c r="L1775" t="s">
        <v>624</v>
      </c>
      <c r="M1775" t="s">
        <v>868</v>
      </c>
      <c r="O1775">
        <v>27</v>
      </c>
      <c r="FP1775">
        <v>1</v>
      </c>
    </row>
    <row r="1776" spans="1:173" x14ac:dyDescent="0.25">
      <c r="A1776" t="s">
        <v>622</v>
      </c>
      <c r="B1776" t="s">
        <v>136</v>
      </c>
      <c r="C1776" s="3">
        <f t="shared" si="46"/>
        <v>23.971944444444443</v>
      </c>
      <c r="D1776" s="3">
        <f t="shared" si="47"/>
        <v>121.59977777777777</v>
      </c>
      <c r="E1776" t="s">
        <v>15</v>
      </c>
      <c r="F1776" t="s">
        <v>19</v>
      </c>
      <c r="G1776" t="s">
        <v>214</v>
      </c>
      <c r="I1776" t="s">
        <v>12</v>
      </c>
      <c r="J1776" t="s">
        <v>12</v>
      </c>
      <c r="K1776" t="s">
        <v>12</v>
      </c>
      <c r="L1776" t="s">
        <v>624</v>
      </c>
      <c r="M1776" t="s">
        <v>868</v>
      </c>
      <c r="O1776">
        <v>16</v>
      </c>
      <c r="FQ1776">
        <v>1</v>
      </c>
    </row>
    <row r="1777" spans="1:185" x14ac:dyDescent="0.25">
      <c r="A1777" t="s">
        <v>622</v>
      </c>
      <c r="B1777" t="s">
        <v>136</v>
      </c>
      <c r="C1777" s="3">
        <f t="shared" si="46"/>
        <v>23.971944444444443</v>
      </c>
      <c r="D1777" s="3">
        <f t="shared" si="47"/>
        <v>121.59977777777777</v>
      </c>
      <c r="E1777" t="s">
        <v>15</v>
      </c>
      <c r="F1777" t="s">
        <v>19</v>
      </c>
      <c r="G1777" t="s">
        <v>214</v>
      </c>
      <c r="I1777" t="s">
        <v>12</v>
      </c>
      <c r="J1777" t="s">
        <v>12</v>
      </c>
      <c r="K1777" t="s">
        <v>12</v>
      </c>
      <c r="L1777" t="s">
        <v>624</v>
      </c>
      <c r="M1777" t="s">
        <v>868</v>
      </c>
      <c r="O1777">
        <v>20</v>
      </c>
      <c r="FR1777">
        <v>1</v>
      </c>
    </row>
    <row r="1778" spans="1:185" x14ac:dyDescent="0.25">
      <c r="A1778" t="s">
        <v>622</v>
      </c>
      <c r="B1778" t="s">
        <v>136</v>
      </c>
      <c r="C1778" s="3">
        <f t="shared" si="46"/>
        <v>23.971944444444443</v>
      </c>
      <c r="D1778" s="3">
        <f t="shared" si="47"/>
        <v>121.59977777777777</v>
      </c>
      <c r="E1778" t="s">
        <v>15</v>
      </c>
      <c r="F1778" t="s">
        <v>19</v>
      </c>
      <c r="G1778" t="s">
        <v>214</v>
      </c>
      <c r="I1778" t="s">
        <v>12</v>
      </c>
      <c r="J1778" t="s">
        <v>12</v>
      </c>
      <c r="K1778" t="s">
        <v>12</v>
      </c>
      <c r="L1778" t="s">
        <v>624</v>
      </c>
      <c r="M1778" t="s">
        <v>868</v>
      </c>
      <c r="O1778">
        <v>30</v>
      </c>
      <c r="FS1778">
        <v>1</v>
      </c>
    </row>
    <row r="1779" spans="1:185" x14ac:dyDescent="0.25">
      <c r="A1779" t="s">
        <v>622</v>
      </c>
      <c r="B1779" t="s">
        <v>136</v>
      </c>
      <c r="C1779" s="3">
        <f t="shared" si="46"/>
        <v>23.971944444444443</v>
      </c>
      <c r="D1779" s="3">
        <f t="shared" si="47"/>
        <v>121.59977777777777</v>
      </c>
      <c r="E1779" t="s">
        <v>15</v>
      </c>
      <c r="F1779" t="s">
        <v>19</v>
      </c>
      <c r="G1779" t="s">
        <v>214</v>
      </c>
      <c r="I1779" t="s">
        <v>12</v>
      </c>
      <c r="J1779" t="s">
        <v>12</v>
      </c>
      <c r="K1779" t="s">
        <v>12</v>
      </c>
      <c r="L1779" t="s">
        <v>624</v>
      </c>
      <c r="M1779" t="s">
        <v>868</v>
      </c>
      <c r="O1779">
        <v>25</v>
      </c>
      <c r="FT1779">
        <v>1</v>
      </c>
    </row>
    <row r="1780" spans="1:185" x14ac:dyDescent="0.25">
      <c r="A1780" t="s">
        <v>622</v>
      </c>
      <c r="B1780" t="s">
        <v>136</v>
      </c>
      <c r="C1780" s="3">
        <f t="shared" si="46"/>
        <v>23.971944444444443</v>
      </c>
      <c r="D1780" s="3">
        <f t="shared" si="47"/>
        <v>121.59977777777777</v>
      </c>
      <c r="E1780" t="s">
        <v>15</v>
      </c>
      <c r="F1780" t="s">
        <v>19</v>
      </c>
      <c r="G1780" t="s">
        <v>214</v>
      </c>
      <c r="I1780" t="s">
        <v>12</v>
      </c>
      <c r="J1780" t="s">
        <v>12</v>
      </c>
      <c r="K1780" t="s">
        <v>12</v>
      </c>
      <c r="L1780" t="s">
        <v>624</v>
      </c>
      <c r="M1780" t="s">
        <v>868</v>
      </c>
      <c r="O1780">
        <v>24</v>
      </c>
      <c r="FU1780">
        <v>1</v>
      </c>
    </row>
    <row r="1781" spans="1:185" x14ac:dyDescent="0.25">
      <c r="A1781" t="s">
        <v>622</v>
      </c>
      <c r="B1781" t="s">
        <v>136</v>
      </c>
      <c r="C1781" s="3">
        <f t="shared" si="46"/>
        <v>23.971944444444443</v>
      </c>
      <c r="D1781" s="3">
        <f t="shared" si="47"/>
        <v>121.59977777777777</v>
      </c>
      <c r="E1781" t="s">
        <v>15</v>
      </c>
      <c r="F1781" t="s">
        <v>19</v>
      </c>
      <c r="G1781" t="s">
        <v>214</v>
      </c>
      <c r="I1781" t="s">
        <v>12</v>
      </c>
      <c r="J1781" t="s">
        <v>12</v>
      </c>
      <c r="K1781" t="s">
        <v>12</v>
      </c>
      <c r="L1781" t="s">
        <v>624</v>
      </c>
      <c r="M1781" t="s">
        <v>868</v>
      </c>
      <c r="O1781">
        <v>16</v>
      </c>
      <c r="FV1781">
        <v>1</v>
      </c>
    </row>
    <row r="1782" spans="1:185" x14ac:dyDescent="0.25">
      <c r="A1782" t="s">
        <v>622</v>
      </c>
      <c r="B1782" t="s">
        <v>136</v>
      </c>
      <c r="C1782" s="3">
        <f t="shared" si="46"/>
        <v>23.971944444444443</v>
      </c>
      <c r="D1782" s="3">
        <f t="shared" si="47"/>
        <v>121.59977777777777</v>
      </c>
      <c r="E1782" t="s">
        <v>15</v>
      </c>
      <c r="F1782" t="s">
        <v>19</v>
      </c>
      <c r="G1782" t="s">
        <v>214</v>
      </c>
      <c r="I1782" t="s">
        <v>12</v>
      </c>
      <c r="J1782" t="s">
        <v>12</v>
      </c>
      <c r="K1782" t="s">
        <v>12</v>
      </c>
      <c r="L1782" t="s">
        <v>624</v>
      </c>
      <c r="M1782" t="s">
        <v>868</v>
      </c>
      <c r="O1782">
        <v>15</v>
      </c>
      <c r="FW1782">
        <v>1</v>
      </c>
    </row>
    <row r="1783" spans="1:185" x14ac:dyDescent="0.25">
      <c r="A1783" t="s">
        <v>622</v>
      </c>
      <c r="B1783" t="s">
        <v>136</v>
      </c>
      <c r="C1783" s="3">
        <f t="shared" si="46"/>
        <v>23.971944444444443</v>
      </c>
      <c r="D1783" s="3">
        <f t="shared" si="47"/>
        <v>121.59977777777777</v>
      </c>
      <c r="E1783" t="s">
        <v>15</v>
      </c>
      <c r="F1783" t="s">
        <v>19</v>
      </c>
      <c r="G1783" t="s">
        <v>214</v>
      </c>
      <c r="I1783" t="s">
        <v>12</v>
      </c>
      <c r="J1783" t="s">
        <v>12</v>
      </c>
      <c r="K1783" t="s">
        <v>12</v>
      </c>
      <c r="L1783" t="s">
        <v>624</v>
      </c>
      <c r="M1783" t="s">
        <v>868</v>
      </c>
      <c r="O1783">
        <v>19</v>
      </c>
      <c r="FX1783">
        <v>1</v>
      </c>
    </row>
    <row r="1784" spans="1:185" x14ac:dyDescent="0.25">
      <c r="A1784" t="s">
        <v>622</v>
      </c>
      <c r="B1784" t="s">
        <v>136</v>
      </c>
      <c r="C1784" s="3">
        <f t="shared" si="46"/>
        <v>23.971944444444443</v>
      </c>
      <c r="D1784" s="3">
        <f t="shared" si="47"/>
        <v>121.59977777777777</v>
      </c>
      <c r="E1784" t="s">
        <v>15</v>
      </c>
      <c r="F1784" t="s">
        <v>19</v>
      </c>
      <c r="G1784" t="s">
        <v>214</v>
      </c>
      <c r="I1784" t="s">
        <v>12</v>
      </c>
      <c r="J1784" t="s">
        <v>12</v>
      </c>
      <c r="K1784" t="s">
        <v>12</v>
      </c>
      <c r="L1784" t="s">
        <v>624</v>
      </c>
      <c r="M1784" t="s">
        <v>868</v>
      </c>
      <c r="O1784">
        <v>21</v>
      </c>
      <c r="FY1784">
        <v>1</v>
      </c>
    </row>
    <row r="1785" spans="1:185" x14ac:dyDescent="0.25">
      <c r="A1785" t="s">
        <v>622</v>
      </c>
      <c r="B1785" t="s">
        <v>136</v>
      </c>
      <c r="C1785" s="3">
        <f t="shared" si="46"/>
        <v>23.971944444444443</v>
      </c>
      <c r="D1785" s="3">
        <f t="shared" si="47"/>
        <v>121.59977777777777</v>
      </c>
      <c r="E1785" t="s">
        <v>15</v>
      </c>
      <c r="F1785" t="s">
        <v>19</v>
      </c>
      <c r="G1785" t="s">
        <v>214</v>
      </c>
      <c r="I1785" t="s">
        <v>12</v>
      </c>
      <c r="J1785" t="s">
        <v>12</v>
      </c>
      <c r="K1785" t="s">
        <v>12</v>
      </c>
      <c r="L1785" t="s">
        <v>624</v>
      </c>
      <c r="M1785" t="s">
        <v>868</v>
      </c>
      <c r="O1785">
        <v>20</v>
      </c>
      <c r="FZ1785">
        <v>1</v>
      </c>
    </row>
    <row r="1786" spans="1:185" x14ac:dyDescent="0.25">
      <c r="A1786" t="s">
        <v>622</v>
      </c>
      <c r="B1786" t="s">
        <v>136</v>
      </c>
      <c r="C1786" s="3">
        <f t="shared" si="46"/>
        <v>23.971944444444443</v>
      </c>
      <c r="D1786" s="3">
        <f t="shared" si="47"/>
        <v>121.59977777777777</v>
      </c>
      <c r="E1786" t="s">
        <v>15</v>
      </c>
      <c r="F1786" t="s">
        <v>19</v>
      </c>
      <c r="G1786" t="s">
        <v>214</v>
      </c>
      <c r="I1786" t="s">
        <v>12</v>
      </c>
      <c r="J1786" t="s">
        <v>12</v>
      </c>
      <c r="K1786" t="s">
        <v>12</v>
      </c>
      <c r="L1786" t="s">
        <v>624</v>
      </c>
      <c r="M1786" t="s">
        <v>868</v>
      </c>
      <c r="O1786">
        <v>17</v>
      </c>
      <c r="GA1786">
        <v>1</v>
      </c>
    </row>
    <row r="1787" spans="1:185" x14ac:dyDescent="0.25">
      <c r="A1787" t="s">
        <v>622</v>
      </c>
      <c r="B1787" t="s">
        <v>136</v>
      </c>
      <c r="C1787" s="3">
        <f t="shared" si="46"/>
        <v>23.971944444444443</v>
      </c>
      <c r="D1787" s="3">
        <f t="shared" si="47"/>
        <v>121.59977777777777</v>
      </c>
      <c r="E1787" t="s">
        <v>15</v>
      </c>
      <c r="F1787" t="s">
        <v>19</v>
      </c>
      <c r="G1787" t="s">
        <v>214</v>
      </c>
      <c r="I1787" t="s">
        <v>12</v>
      </c>
      <c r="J1787" t="s">
        <v>12</v>
      </c>
      <c r="K1787" t="s">
        <v>12</v>
      </c>
      <c r="L1787" t="s">
        <v>624</v>
      </c>
      <c r="M1787" t="s">
        <v>868</v>
      </c>
      <c r="O1787">
        <v>20</v>
      </c>
      <c r="GB1787">
        <v>1</v>
      </c>
    </row>
    <row r="1788" spans="1:185" x14ac:dyDescent="0.25">
      <c r="A1788" t="s">
        <v>203</v>
      </c>
      <c r="B1788" t="s">
        <v>136</v>
      </c>
      <c r="C1788" s="3">
        <v>22.7</v>
      </c>
      <c r="D1788" s="3">
        <v>120.35</v>
      </c>
      <c r="E1788" t="s">
        <v>12</v>
      </c>
      <c r="F1788" t="s">
        <v>22</v>
      </c>
      <c r="G1788" t="s">
        <v>76</v>
      </c>
      <c r="I1788" t="s">
        <v>15</v>
      </c>
      <c r="J1788" t="s">
        <v>12</v>
      </c>
      <c r="K1788" t="s">
        <v>12</v>
      </c>
      <c r="L1788" t="s">
        <v>1081</v>
      </c>
      <c r="M1788" t="s">
        <v>1080</v>
      </c>
      <c r="O1788">
        <v>62.1</v>
      </c>
      <c r="P1788">
        <v>14.5</v>
      </c>
      <c r="DH1788">
        <v>0.5</v>
      </c>
      <c r="DI1788">
        <v>0.5</v>
      </c>
    </row>
    <row r="1789" spans="1:185" x14ac:dyDescent="0.25">
      <c r="A1789" t="s">
        <v>464</v>
      </c>
      <c r="B1789" t="s">
        <v>136</v>
      </c>
      <c r="C1789" s="3">
        <f>22+37/60</f>
        <v>22.616666666666667</v>
      </c>
      <c r="D1789" s="3">
        <f>120+18/60</f>
        <v>120.3</v>
      </c>
      <c r="E1789" t="s">
        <v>12</v>
      </c>
      <c r="F1789" t="s">
        <v>77</v>
      </c>
      <c r="G1789" t="s">
        <v>106</v>
      </c>
      <c r="H1789">
        <v>40</v>
      </c>
      <c r="I1789" t="s">
        <v>15</v>
      </c>
      <c r="J1789" t="s">
        <v>15</v>
      </c>
      <c r="K1789" t="s">
        <v>15</v>
      </c>
      <c r="L1789" t="s">
        <v>465</v>
      </c>
      <c r="M1789" t="s">
        <v>969</v>
      </c>
      <c r="O1789">
        <v>68</v>
      </c>
      <c r="P1789">
        <v>24</v>
      </c>
      <c r="BW1789">
        <v>0.5</v>
      </c>
      <c r="BX1789">
        <v>1</v>
      </c>
      <c r="BY1789">
        <v>1</v>
      </c>
      <c r="BZ1789">
        <v>1</v>
      </c>
      <c r="CA1789">
        <v>1</v>
      </c>
      <c r="CB1789">
        <v>1</v>
      </c>
    </row>
    <row r="1790" spans="1:185" x14ac:dyDescent="0.25">
      <c r="A1790" t="s">
        <v>736</v>
      </c>
      <c r="B1790" t="s">
        <v>136</v>
      </c>
      <c r="C1790" s="3">
        <v>23.02</v>
      </c>
      <c r="D1790" s="3">
        <v>120.67</v>
      </c>
      <c r="E1790" t="s">
        <v>12</v>
      </c>
      <c r="F1790" t="s">
        <v>77</v>
      </c>
      <c r="G1790" t="s">
        <v>95</v>
      </c>
      <c r="I1790" t="s">
        <v>12</v>
      </c>
      <c r="J1790" t="s">
        <v>12</v>
      </c>
      <c r="K1790" t="s">
        <v>12</v>
      </c>
      <c r="L1790" t="s">
        <v>774</v>
      </c>
      <c r="M1790" t="s">
        <v>829</v>
      </c>
      <c r="O1790">
        <v>48.51</v>
      </c>
      <c r="P1790" t="s">
        <v>773</v>
      </c>
      <c r="AL1790">
        <v>1</v>
      </c>
      <c r="AM1790">
        <v>1</v>
      </c>
      <c r="AN1790">
        <v>1</v>
      </c>
      <c r="AO1790">
        <v>1</v>
      </c>
      <c r="AP1790">
        <v>1</v>
      </c>
      <c r="AQ1790">
        <v>1</v>
      </c>
      <c r="AR1790">
        <v>1</v>
      </c>
      <c r="AS1790">
        <v>1</v>
      </c>
      <c r="AT1790">
        <v>1</v>
      </c>
    </row>
    <row r="1791" spans="1:185" x14ac:dyDescent="0.25">
      <c r="A1791" t="s">
        <v>204</v>
      </c>
      <c r="B1791" t="s">
        <v>136</v>
      </c>
      <c r="C1791" s="3">
        <v>22.49</v>
      </c>
      <c r="D1791" s="3">
        <v>120.4</v>
      </c>
      <c r="E1791" t="s">
        <v>12</v>
      </c>
      <c r="F1791" t="s">
        <v>22</v>
      </c>
      <c r="G1791" t="s">
        <v>76</v>
      </c>
      <c r="I1791" t="s">
        <v>15</v>
      </c>
      <c r="J1791" t="s">
        <v>12</v>
      </c>
      <c r="K1791" t="s">
        <v>12</v>
      </c>
      <c r="L1791" t="s">
        <v>1081</v>
      </c>
      <c r="M1791" t="s">
        <v>1080</v>
      </c>
      <c r="O1791">
        <v>74.5</v>
      </c>
      <c r="P1791">
        <v>14.6</v>
      </c>
      <c r="DH1791">
        <v>0.5</v>
      </c>
      <c r="DI1791">
        <v>0.5</v>
      </c>
    </row>
    <row r="1792" spans="1:185" x14ac:dyDescent="0.25">
      <c r="A1792" t="s">
        <v>482</v>
      </c>
      <c r="B1792" t="s">
        <v>136</v>
      </c>
      <c r="C1792" s="3">
        <f t="shared" ref="C1792:C1810" si="48">23+28/60+7/3600</f>
        <v>23.468611111111109</v>
      </c>
      <c r="D1792" s="3">
        <f t="shared" ref="D1792:D1810" si="49">120+52/60+25/3600</f>
        <v>120.8736111111111</v>
      </c>
      <c r="E1792" t="s">
        <v>15</v>
      </c>
      <c r="F1792" t="s">
        <v>20</v>
      </c>
      <c r="G1792" t="s">
        <v>106</v>
      </c>
      <c r="H1792">
        <v>30</v>
      </c>
      <c r="I1792" t="s">
        <v>12</v>
      </c>
      <c r="J1792" t="s">
        <v>15</v>
      </c>
      <c r="K1792" t="s">
        <v>15</v>
      </c>
      <c r="L1792" t="s">
        <v>481</v>
      </c>
      <c r="M1792" t="s">
        <v>956</v>
      </c>
      <c r="O1792">
        <v>6.1</v>
      </c>
      <c r="P1792">
        <v>3.3</v>
      </c>
      <c r="DU1792">
        <v>1</v>
      </c>
      <c r="EG1792">
        <v>1</v>
      </c>
      <c r="ES1792">
        <v>1</v>
      </c>
      <c r="FE1792">
        <v>1</v>
      </c>
      <c r="FQ1792">
        <v>1</v>
      </c>
      <c r="GC1792">
        <v>1</v>
      </c>
    </row>
    <row r="1793" spans="1:187" x14ac:dyDescent="0.25">
      <c r="A1793" t="s">
        <v>482</v>
      </c>
      <c r="B1793" t="s">
        <v>136</v>
      </c>
      <c r="C1793" s="3">
        <f t="shared" si="48"/>
        <v>23.468611111111109</v>
      </c>
      <c r="D1793" s="3">
        <f t="shared" si="49"/>
        <v>120.8736111111111</v>
      </c>
      <c r="E1793" t="s">
        <v>15</v>
      </c>
      <c r="F1793" t="s">
        <v>20</v>
      </c>
      <c r="G1793" t="s">
        <v>106</v>
      </c>
      <c r="H1793">
        <v>30</v>
      </c>
      <c r="I1793" t="s">
        <v>12</v>
      </c>
      <c r="J1793" t="s">
        <v>15</v>
      </c>
      <c r="K1793" t="s">
        <v>15</v>
      </c>
      <c r="L1793" t="s">
        <v>481</v>
      </c>
      <c r="M1793" t="s">
        <v>956</v>
      </c>
      <c r="O1793">
        <v>6.7</v>
      </c>
      <c r="P1793">
        <v>4</v>
      </c>
      <c r="DV1793">
        <v>1</v>
      </c>
      <c r="EH1793">
        <v>1</v>
      </c>
      <c r="ET1793">
        <v>1</v>
      </c>
      <c r="FF1793">
        <v>1</v>
      </c>
      <c r="FR1793">
        <v>1</v>
      </c>
      <c r="GD1793">
        <v>1</v>
      </c>
    </row>
    <row r="1794" spans="1:187" x14ac:dyDescent="0.25">
      <c r="A1794" t="s">
        <v>482</v>
      </c>
      <c r="B1794" t="s">
        <v>136</v>
      </c>
      <c r="C1794" s="3">
        <f t="shared" si="48"/>
        <v>23.468611111111109</v>
      </c>
      <c r="D1794" s="3">
        <f t="shared" si="49"/>
        <v>120.8736111111111</v>
      </c>
      <c r="E1794" t="s">
        <v>15</v>
      </c>
      <c r="F1794" t="s">
        <v>20</v>
      </c>
      <c r="G1794" t="s">
        <v>106</v>
      </c>
      <c r="H1794">
        <v>30</v>
      </c>
      <c r="I1794" t="s">
        <v>12</v>
      </c>
      <c r="J1794" t="s">
        <v>15</v>
      </c>
      <c r="K1794" t="s">
        <v>15</v>
      </c>
      <c r="L1794" t="s">
        <v>481</v>
      </c>
      <c r="M1794" t="s">
        <v>956</v>
      </c>
      <c r="O1794">
        <v>16.2</v>
      </c>
      <c r="P1794">
        <v>10.1</v>
      </c>
      <c r="DL1794">
        <v>1</v>
      </c>
      <c r="DW1794">
        <v>1</v>
      </c>
      <c r="EI1794">
        <v>1</v>
      </c>
      <c r="EU1794">
        <v>1</v>
      </c>
      <c r="FG1794">
        <v>1</v>
      </c>
      <c r="FS1794">
        <v>1</v>
      </c>
      <c r="GE1794">
        <v>1</v>
      </c>
    </row>
    <row r="1795" spans="1:187" x14ac:dyDescent="0.25">
      <c r="A1795" t="s">
        <v>482</v>
      </c>
      <c r="B1795" t="s">
        <v>136</v>
      </c>
      <c r="C1795" s="3">
        <f t="shared" si="48"/>
        <v>23.468611111111109</v>
      </c>
      <c r="D1795" s="3">
        <f t="shared" si="49"/>
        <v>120.8736111111111</v>
      </c>
      <c r="E1795" t="s">
        <v>15</v>
      </c>
      <c r="F1795" t="s">
        <v>20</v>
      </c>
      <c r="G1795" t="s">
        <v>106</v>
      </c>
      <c r="H1795">
        <v>30</v>
      </c>
      <c r="I1795" t="s">
        <v>12</v>
      </c>
      <c r="J1795" t="s">
        <v>15</v>
      </c>
      <c r="K1795" t="s">
        <v>15</v>
      </c>
      <c r="L1795" t="s">
        <v>481</v>
      </c>
      <c r="M1795" t="s">
        <v>956</v>
      </c>
      <c r="O1795">
        <v>8.6999999999999993</v>
      </c>
      <c r="P1795">
        <v>8.6999999999999993</v>
      </c>
      <c r="DM1795">
        <v>1</v>
      </c>
      <c r="DX1795">
        <v>1</v>
      </c>
      <c r="EJ1795">
        <v>1</v>
      </c>
      <c r="EV1795">
        <v>1</v>
      </c>
      <c r="FH1795">
        <v>1</v>
      </c>
      <c r="FT1795">
        <v>1</v>
      </c>
    </row>
    <row r="1796" spans="1:187" x14ac:dyDescent="0.25">
      <c r="A1796" t="s">
        <v>482</v>
      </c>
      <c r="B1796" t="s">
        <v>136</v>
      </c>
      <c r="C1796" s="3">
        <f t="shared" si="48"/>
        <v>23.468611111111109</v>
      </c>
      <c r="D1796" s="3">
        <f t="shared" si="49"/>
        <v>120.8736111111111</v>
      </c>
      <c r="E1796" t="s">
        <v>15</v>
      </c>
      <c r="F1796" t="s">
        <v>20</v>
      </c>
      <c r="G1796" t="s">
        <v>106</v>
      </c>
      <c r="H1796">
        <v>30</v>
      </c>
      <c r="I1796" t="s">
        <v>12</v>
      </c>
      <c r="J1796" t="s">
        <v>15</v>
      </c>
      <c r="K1796" t="s">
        <v>15</v>
      </c>
      <c r="L1796" t="s">
        <v>481</v>
      </c>
      <c r="M1796" t="s">
        <v>956</v>
      </c>
      <c r="O1796">
        <v>3.4</v>
      </c>
      <c r="P1796">
        <v>3.4</v>
      </c>
      <c r="DN1796">
        <v>1</v>
      </c>
      <c r="DY1796">
        <v>1</v>
      </c>
      <c r="EK1796">
        <v>1</v>
      </c>
      <c r="EW1796">
        <v>1</v>
      </c>
      <c r="FI1796">
        <v>1</v>
      </c>
      <c r="FU1796">
        <v>1</v>
      </c>
    </row>
    <row r="1797" spans="1:187" x14ac:dyDescent="0.25">
      <c r="A1797" t="s">
        <v>482</v>
      </c>
      <c r="B1797" t="s">
        <v>136</v>
      </c>
      <c r="C1797" s="3">
        <f t="shared" si="48"/>
        <v>23.468611111111109</v>
      </c>
      <c r="D1797" s="3">
        <f t="shared" si="49"/>
        <v>120.8736111111111</v>
      </c>
      <c r="E1797" t="s">
        <v>15</v>
      </c>
      <c r="F1797" t="s">
        <v>20</v>
      </c>
      <c r="G1797" t="s">
        <v>106</v>
      </c>
      <c r="H1797">
        <v>30</v>
      </c>
      <c r="I1797" t="s">
        <v>12</v>
      </c>
      <c r="J1797" t="s">
        <v>15</v>
      </c>
      <c r="K1797" t="s">
        <v>15</v>
      </c>
      <c r="L1797" t="s">
        <v>481</v>
      </c>
      <c r="M1797" t="s">
        <v>956</v>
      </c>
      <c r="O1797">
        <v>2.2000000000000002</v>
      </c>
      <c r="P1797">
        <v>1.9</v>
      </c>
      <c r="DO1797">
        <v>1</v>
      </c>
      <c r="DZ1797">
        <v>1</v>
      </c>
      <c r="EL1797">
        <v>1</v>
      </c>
      <c r="EX1797">
        <v>1</v>
      </c>
      <c r="FJ1797">
        <v>1</v>
      </c>
      <c r="FV1797">
        <v>1</v>
      </c>
    </row>
    <row r="1798" spans="1:187" x14ac:dyDescent="0.25">
      <c r="A1798" t="s">
        <v>482</v>
      </c>
      <c r="B1798" t="s">
        <v>136</v>
      </c>
      <c r="C1798" s="3">
        <f t="shared" si="48"/>
        <v>23.468611111111109</v>
      </c>
      <c r="D1798" s="3">
        <f t="shared" si="49"/>
        <v>120.8736111111111</v>
      </c>
      <c r="E1798" t="s">
        <v>15</v>
      </c>
      <c r="F1798" t="s">
        <v>20</v>
      </c>
      <c r="G1798" t="s">
        <v>106</v>
      </c>
      <c r="H1798">
        <v>30</v>
      </c>
      <c r="I1798" t="s">
        <v>12</v>
      </c>
      <c r="J1798" t="s">
        <v>15</v>
      </c>
      <c r="K1798" t="s">
        <v>15</v>
      </c>
      <c r="L1798" t="s">
        <v>481</v>
      </c>
      <c r="M1798" t="s">
        <v>956</v>
      </c>
      <c r="O1798">
        <v>5.0999999999999996</v>
      </c>
      <c r="P1798">
        <v>2.2000000000000002</v>
      </c>
      <c r="DP1798">
        <v>1</v>
      </c>
      <c r="EA1798">
        <v>1</v>
      </c>
      <c r="EM1798">
        <v>1</v>
      </c>
      <c r="EY1798">
        <v>1</v>
      </c>
      <c r="FK1798">
        <v>1</v>
      </c>
      <c r="FW1798">
        <v>1</v>
      </c>
    </row>
    <row r="1799" spans="1:187" x14ac:dyDescent="0.25">
      <c r="A1799" t="s">
        <v>482</v>
      </c>
      <c r="B1799" t="s">
        <v>136</v>
      </c>
      <c r="C1799" s="3">
        <f t="shared" si="48"/>
        <v>23.468611111111109</v>
      </c>
      <c r="D1799" s="3">
        <f t="shared" si="49"/>
        <v>120.8736111111111</v>
      </c>
      <c r="E1799" t="s">
        <v>15</v>
      </c>
      <c r="F1799" t="s">
        <v>20</v>
      </c>
      <c r="G1799" t="s">
        <v>106</v>
      </c>
      <c r="H1799">
        <v>30</v>
      </c>
      <c r="I1799" t="s">
        <v>12</v>
      </c>
      <c r="J1799" t="s">
        <v>15</v>
      </c>
      <c r="K1799" t="s">
        <v>15</v>
      </c>
      <c r="L1799" t="s">
        <v>481</v>
      </c>
      <c r="M1799" t="s">
        <v>956</v>
      </c>
      <c r="O1799">
        <v>4.3</v>
      </c>
      <c r="P1799">
        <v>3.7</v>
      </c>
      <c r="DQ1799">
        <v>1</v>
      </c>
      <c r="EB1799">
        <v>1</v>
      </c>
      <c r="EN1799">
        <v>1</v>
      </c>
      <c r="EZ1799">
        <v>1</v>
      </c>
      <c r="FL1799">
        <v>1</v>
      </c>
      <c r="FX1799">
        <v>1</v>
      </c>
    </row>
    <row r="1800" spans="1:187" x14ac:dyDescent="0.25">
      <c r="A1800" t="s">
        <v>482</v>
      </c>
      <c r="B1800" t="s">
        <v>136</v>
      </c>
      <c r="C1800" s="3">
        <f t="shared" si="48"/>
        <v>23.468611111111109</v>
      </c>
      <c r="D1800" s="3">
        <f t="shared" si="49"/>
        <v>120.8736111111111</v>
      </c>
      <c r="E1800" t="s">
        <v>15</v>
      </c>
      <c r="F1800" t="s">
        <v>20</v>
      </c>
      <c r="G1800" t="s">
        <v>106</v>
      </c>
      <c r="H1800">
        <v>30</v>
      </c>
      <c r="I1800" t="s">
        <v>12</v>
      </c>
      <c r="J1800" t="s">
        <v>15</v>
      </c>
      <c r="K1800" t="s">
        <v>15</v>
      </c>
      <c r="L1800" t="s">
        <v>481</v>
      </c>
      <c r="M1800" t="s">
        <v>956</v>
      </c>
      <c r="O1800">
        <v>4</v>
      </c>
      <c r="P1800">
        <v>1.9</v>
      </c>
      <c r="DR1800">
        <v>1</v>
      </c>
      <c r="EC1800">
        <v>1</v>
      </c>
      <c r="EO1800">
        <v>1</v>
      </c>
      <c r="FA1800">
        <v>1</v>
      </c>
      <c r="FM1800">
        <v>1</v>
      </c>
      <c r="FY1800">
        <v>1</v>
      </c>
    </row>
    <row r="1801" spans="1:187" x14ac:dyDescent="0.25">
      <c r="A1801" t="s">
        <v>482</v>
      </c>
      <c r="B1801" t="s">
        <v>136</v>
      </c>
      <c r="C1801" s="3">
        <f t="shared" si="48"/>
        <v>23.468611111111109</v>
      </c>
      <c r="D1801" s="3">
        <f t="shared" si="49"/>
        <v>120.8736111111111</v>
      </c>
      <c r="E1801" t="s">
        <v>15</v>
      </c>
      <c r="F1801" t="s">
        <v>20</v>
      </c>
      <c r="G1801" t="s">
        <v>106</v>
      </c>
      <c r="H1801">
        <v>30</v>
      </c>
      <c r="I1801" t="s">
        <v>12</v>
      </c>
      <c r="J1801" t="s">
        <v>15</v>
      </c>
      <c r="K1801" t="s">
        <v>15</v>
      </c>
      <c r="L1801" t="s">
        <v>481</v>
      </c>
      <c r="M1801" t="s">
        <v>956</v>
      </c>
      <c r="O1801">
        <v>2.9</v>
      </c>
      <c r="P1801">
        <v>1.1000000000000001</v>
      </c>
      <c r="DS1801">
        <v>1</v>
      </c>
      <c r="ED1801">
        <v>1</v>
      </c>
      <c r="EP1801">
        <v>1</v>
      </c>
      <c r="FB1801">
        <v>1</v>
      </c>
      <c r="FN1801">
        <v>1</v>
      </c>
      <c r="FZ1801">
        <v>1</v>
      </c>
    </row>
    <row r="1802" spans="1:187" x14ac:dyDescent="0.25">
      <c r="A1802" t="s">
        <v>482</v>
      </c>
      <c r="B1802" t="s">
        <v>136</v>
      </c>
      <c r="C1802" s="3">
        <f t="shared" si="48"/>
        <v>23.468611111111109</v>
      </c>
      <c r="D1802" s="3">
        <f t="shared" si="49"/>
        <v>120.8736111111111</v>
      </c>
      <c r="E1802" t="s">
        <v>15</v>
      </c>
      <c r="F1802" t="s">
        <v>20</v>
      </c>
      <c r="G1802" t="s">
        <v>106</v>
      </c>
      <c r="H1802">
        <v>30</v>
      </c>
      <c r="I1802" t="s">
        <v>12</v>
      </c>
      <c r="J1802" t="s">
        <v>15</v>
      </c>
      <c r="K1802" t="s">
        <v>15</v>
      </c>
      <c r="L1802" t="s">
        <v>481</v>
      </c>
      <c r="M1802" t="s">
        <v>956</v>
      </c>
      <c r="O1802">
        <v>5.7</v>
      </c>
      <c r="P1802">
        <v>5.6</v>
      </c>
      <c r="DT1802">
        <v>1</v>
      </c>
      <c r="EE1802">
        <v>1</v>
      </c>
      <c r="EQ1802">
        <v>1</v>
      </c>
      <c r="FC1802">
        <v>1</v>
      </c>
      <c r="FO1802">
        <v>1</v>
      </c>
      <c r="GA1802">
        <v>1</v>
      </c>
    </row>
    <row r="1803" spans="1:187" x14ac:dyDescent="0.25">
      <c r="A1803" t="s">
        <v>482</v>
      </c>
      <c r="B1803" t="s">
        <v>136</v>
      </c>
      <c r="C1803" s="3">
        <f t="shared" si="48"/>
        <v>23.468611111111109</v>
      </c>
      <c r="D1803" s="3">
        <f t="shared" si="49"/>
        <v>120.8736111111111</v>
      </c>
      <c r="E1803" t="s">
        <v>15</v>
      </c>
      <c r="F1803" t="s">
        <v>20</v>
      </c>
      <c r="G1803" t="s">
        <v>106</v>
      </c>
      <c r="H1803">
        <v>30</v>
      </c>
      <c r="I1803" t="s">
        <v>12</v>
      </c>
      <c r="J1803" t="s">
        <v>15</v>
      </c>
      <c r="K1803" t="s">
        <v>15</v>
      </c>
      <c r="L1803" t="s">
        <v>481</v>
      </c>
      <c r="M1803" t="s">
        <v>956</v>
      </c>
      <c r="O1803">
        <v>3.6</v>
      </c>
      <c r="P1803">
        <v>2</v>
      </c>
      <c r="DU1803">
        <v>1</v>
      </c>
      <c r="EF1803">
        <v>1</v>
      </c>
      <c r="ER1803">
        <v>1</v>
      </c>
      <c r="FD1803">
        <v>1</v>
      </c>
      <c r="FP1803">
        <v>1</v>
      </c>
      <c r="GB1803">
        <v>1</v>
      </c>
    </row>
    <row r="1804" spans="1:187" x14ac:dyDescent="0.25">
      <c r="A1804" t="s">
        <v>482</v>
      </c>
      <c r="B1804" t="s">
        <v>136</v>
      </c>
      <c r="C1804" s="3">
        <f t="shared" si="48"/>
        <v>23.468611111111109</v>
      </c>
      <c r="D1804" s="3">
        <f t="shared" si="49"/>
        <v>120.8736111111111</v>
      </c>
      <c r="E1804" t="s">
        <v>15</v>
      </c>
      <c r="F1804" t="s">
        <v>20</v>
      </c>
      <c r="G1804" t="s">
        <v>106</v>
      </c>
      <c r="H1804">
        <v>30</v>
      </c>
      <c r="I1804" t="s">
        <v>12</v>
      </c>
      <c r="J1804" t="s">
        <v>15</v>
      </c>
      <c r="K1804" t="s">
        <v>15</v>
      </c>
      <c r="L1804" t="s">
        <v>481</v>
      </c>
      <c r="M1804" t="s">
        <v>956</v>
      </c>
      <c r="O1804">
        <v>16.3</v>
      </c>
      <c r="P1804">
        <v>4.2</v>
      </c>
      <c r="DL1804">
        <v>1</v>
      </c>
      <c r="DM1804">
        <v>1</v>
      </c>
      <c r="DN1804">
        <v>1</v>
      </c>
      <c r="DO1804">
        <v>1</v>
      </c>
      <c r="DP1804">
        <v>1</v>
      </c>
      <c r="DQ1804">
        <v>1</v>
      </c>
      <c r="DR1804">
        <v>1</v>
      </c>
      <c r="DS1804">
        <v>1</v>
      </c>
      <c r="DT1804">
        <v>1</v>
      </c>
    </row>
    <row r="1805" spans="1:187" x14ac:dyDescent="0.25">
      <c r="A1805" t="s">
        <v>482</v>
      </c>
      <c r="B1805" t="s">
        <v>136</v>
      </c>
      <c r="C1805" s="3">
        <f t="shared" si="48"/>
        <v>23.468611111111109</v>
      </c>
      <c r="D1805" s="3">
        <f t="shared" si="49"/>
        <v>120.8736111111111</v>
      </c>
      <c r="E1805" t="s">
        <v>15</v>
      </c>
      <c r="F1805" t="s">
        <v>20</v>
      </c>
      <c r="G1805" t="s">
        <v>106</v>
      </c>
      <c r="H1805">
        <v>30</v>
      </c>
      <c r="I1805" t="s">
        <v>12</v>
      </c>
      <c r="J1805" t="s">
        <v>15</v>
      </c>
      <c r="K1805" t="s">
        <v>15</v>
      </c>
      <c r="L1805" t="s">
        <v>481</v>
      </c>
      <c r="M1805" t="s">
        <v>956</v>
      </c>
      <c r="O1805">
        <v>26.7</v>
      </c>
      <c r="P1805">
        <v>6</v>
      </c>
      <c r="DU1805">
        <v>1</v>
      </c>
      <c r="DV1805">
        <v>1</v>
      </c>
      <c r="DW1805">
        <v>1</v>
      </c>
      <c r="DX1805">
        <v>1</v>
      </c>
      <c r="DY1805">
        <v>1</v>
      </c>
      <c r="DZ1805">
        <v>1</v>
      </c>
      <c r="EA1805">
        <v>1</v>
      </c>
      <c r="EB1805">
        <v>1</v>
      </c>
      <c r="EC1805">
        <v>1</v>
      </c>
      <c r="ED1805">
        <v>1</v>
      </c>
      <c r="EE1805">
        <v>1</v>
      </c>
      <c r="EF1805">
        <v>1</v>
      </c>
    </row>
    <row r="1806" spans="1:187" x14ac:dyDescent="0.25">
      <c r="A1806" t="s">
        <v>482</v>
      </c>
      <c r="B1806" t="s">
        <v>136</v>
      </c>
      <c r="C1806" s="3">
        <f t="shared" si="48"/>
        <v>23.468611111111109</v>
      </c>
      <c r="D1806" s="3">
        <f t="shared" si="49"/>
        <v>120.8736111111111</v>
      </c>
      <c r="E1806" t="s">
        <v>15</v>
      </c>
      <c r="F1806" t="s">
        <v>20</v>
      </c>
      <c r="G1806" t="s">
        <v>106</v>
      </c>
      <c r="H1806">
        <v>30</v>
      </c>
      <c r="I1806" t="s">
        <v>12</v>
      </c>
      <c r="J1806" t="s">
        <v>15</v>
      </c>
      <c r="K1806" t="s">
        <v>15</v>
      </c>
      <c r="L1806" t="s">
        <v>481</v>
      </c>
      <c r="M1806" t="s">
        <v>956</v>
      </c>
      <c r="O1806">
        <v>14.3</v>
      </c>
      <c r="P1806">
        <v>5.3</v>
      </c>
      <c r="EG1806">
        <v>1</v>
      </c>
      <c r="EH1806">
        <v>1</v>
      </c>
      <c r="EI1806">
        <v>1</v>
      </c>
      <c r="EJ1806">
        <v>1</v>
      </c>
      <c r="EK1806">
        <v>1</v>
      </c>
      <c r="EL1806">
        <v>1</v>
      </c>
      <c r="EM1806">
        <v>1</v>
      </c>
      <c r="EN1806">
        <v>1</v>
      </c>
      <c r="EO1806">
        <v>1</v>
      </c>
      <c r="EP1806">
        <v>1</v>
      </c>
      <c r="EQ1806">
        <v>1</v>
      </c>
      <c r="ER1806">
        <v>1</v>
      </c>
    </row>
    <row r="1807" spans="1:187" x14ac:dyDescent="0.25">
      <c r="A1807" t="s">
        <v>482</v>
      </c>
      <c r="B1807" t="s">
        <v>136</v>
      </c>
      <c r="C1807" s="3">
        <f t="shared" si="48"/>
        <v>23.468611111111109</v>
      </c>
      <c r="D1807" s="3">
        <f t="shared" si="49"/>
        <v>120.8736111111111</v>
      </c>
      <c r="E1807" t="s">
        <v>15</v>
      </c>
      <c r="F1807" t="s">
        <v>20</v>
      </c>
      <c r="G1807" t="s">
        <v>106</v>
      </c>
      <c r="H1807">
        <v>30</v>
      </c>
      <c r="I1807" t="s">
        <v>12</v>
      </c>
      <c r="J1807" t="s">
        <v>15</v>
      </c>
      <c r="K1807" t="s">
        <v>15</v>
      </c>
      <c r="L1807" t="s">
        <v>481</v>
      </c>
      <c r="M1807" t="s">
        <v>956</v>
      </c>
      <c r="O1807">
        <v>12.9</v>
      </c>
      <c r="P1807">
        <v>5.6</v>
      </c>
      <c r="ES1807">
        <v>1</v>
      </c>
      <c r="ET1807">
        <v>1</v>
      </c>
      <c r="EU1807">
        <v>1</v>
      </c>
      <c r="EV1807">
        <v>1</v>
      </c>
      <c r="EW1807">
        <v>1</v>
      </c>
      <c r="EX1807">
        <v>1</v>
      </c>
      <c r="EY1807">
        <v>1</v>
      </c>
      <c r="EZ1807">
        <v>1</v>
      </c>
      <c r="FA1807">
        <v>1</v>
      </c>
      <c r="FB1807">
        <v>1</v>
      </c>
      <c r="FC1807">
        <v>1</v>
      </c>
      <c r="FD1807">
        <v>1</v>
      </c>
    </row>
    <row r="1808" spans="1:187" x14ac:dyDescent="0.25">
      <c r="A1808" t="s">
        <v>482</v>
      </c>
      <c r="B1808" t="s">
        <v>136</v>
      </c>
      <c r="C1808" s="3">
        <f t="shared" si="48"/>
        <v>23.468611111111109</v>
      </c>
      <c r="D1808" s="3">
        <f t="shared" si="49"/>
        <v>120.8736111111111</v>
      </c>
      <c r="E1808" t="s">
        <v>15</v>
      </c>
      <c r="F1808" t="s">
        <v>20</v>
      </c>
      <c r="G1808" t="s">
        <v>106</v>
      </c>
      <c r="H1808">
        <v>30</v>
      </c>
      <c r="I1808" t="s">
        <v>12</v>
      </c>
      <c r="J1808" t="s">
        <v>15</v>
      </c>
      <c r="K1808" t="s">
        <v>15</v>
      </c>
      <c r="L1808" t="s">
        <v>481</v>
      </c>
      <c r="M1808" t="s">
        <v>956</v>
      </c>
      <c r="O1808">
        <v>21.2</v>
      </c>
      <c r="P1808">
        <v>10.7</v>
      </c>
      <c r="FE1808">
        <v>1</v>
      </c>
      <c r="FF1808">
        <v>1</v>
      </c>
      <c r="FG1808">
        <v>1</v>
      </c>
      <c r="FH1808">
        <v>1</v>
      </c>
      <c r="FI1808">
        <v>1</v>
      </c>
      <c r="FJ1808">
        <v>1</v>
      </c>
      <c r="FK1808">
        <v>1</v>
      </c>
      <c r="FL1808">
        <v>1</v>
      </c>
      <c r="FM1808">
        <v>1</v>
      </c>
      <c r="FN1808">
        <v>1</v>
      </c>
      <c r="FO1808">
        <v>1</v>
      </c>
      <c r="FP1808">
        <v>1</v>
      </c>
    </row>
    <row r="1809" spans="1:207" x14ac:dyDescent="0.25">
      <c r="A1809" t="s">
        <v>482</v>
      </c>
      <c r="B1809" t="s">
        <v>136</v>
      </c>
      <c r="C1809" s="3">
        <f t="shared" si="48"/>
        <v>23.468611111111109</v>
      </c>
      <c r="D1809" s="3">
        <f t="shared" si="49"/>
        <v>120.8736111111111</v>
      </c>
      <c r="E1809" t="s">
        <v>15</v>
      </c>
      <c r="F1809" t="s">
        <v>20</v>
      </c>
      <c r="G1809" t="s">
        <v>106</v>
      </c>
      <c r="H1809">
        <v>30</v>
      </c>
      <c r="I1809" t="s">
        <v>12</v>
      </c>
      <c r="J1809" t="s">
        <v>15</v>
      </c>
      <c r="K1809" t="s">
        <v>15</v>
      </c>
      <c r="L1809" t="s">
        <v>481</v>
      </c>
      <c r="M1809" t="s">
        <v>956</v>
      </c>
      <c r="O1809">
        <v>15.4</v>
      </c>
      <c r="P1809">
        <v>4.5</v>
      </c>
      <c r="FQ1809">
        <v>1</v>
      </c>
      <c r="FR1809">
        <v>1</v>
      </c>
      <c r="FS1809">
        <v>1</v>
      </c>
      <c r="FT1809">
        <v>1</v>
      </c>
      <c r="FU1809">
        <v>1</v>
      </c>
      <c r="FV1809">
        <v>1</v>
      </c>
      <c r="FW1809">
        <v>1</v>
      </c>
      <c r="FX1809">
        <v>1</v>
      </c>
      <c r="FY1809">
        <v>1</v>
      </c>
      <c r="FZ1809">
        <v>1</v>
      </c>
      <c r="GA1809">
        <v>1</v>
      </c>
      <c r="GB1809">
        <v>1</v>
      </c>
    </row>
    <row r="1810" spans="1:207" x14ac:dyDescent="0.25">
      <c r="A1810" t="s">
        <v>482</v>
      </c>
      <c r="B1810" t="s">
        <v>136</v>
      </c>
      <c r="C1810" s="3">
        <f t="shared" si="48"/>
        <v>23.468611111111109</v>
      </c>
      <c r="D1810" s="3">
        <f t="shared" si="49"/>
        <v>120.8736111111111</v>
      </c>
      <c r="E1810" t="s">
        <v>15</v>
      </c>
      <c r="F1810" t="s">
        <v>20</v>
      </c>
      <c r="G1810" t="s">
        <v>106</v>
      </c>
      <c r="H1810">
        <v>30</v>
      </c>
      <c r="I1810" t="s">
        <v>12</v>
      </c>
      <c r="J1810" t="s">
        <v>15</v>
      </c>
      <c r="K1810" t="s">
        <v>15</v>
      </c>
      <c r="L1810" t="s">
        <v>481</v>
      </c>
      <c r="M1810" t="s">
        <v>956</v>
      </c>
      <c r="O1810">
        <v>15.4</v>
      </c>
      <c r="P1810">
        <v>7.8</v>
      </c>
      <c r="GC1810">
        <v>1</v>
      </c>
      <c r="GD1810">
        <v>1</v>
      </c>
      <c r="GE1810">
        <v>1</v>
      </c>
      <c r="GF1810">
        <v>1</v>
      </c>
      <c r="GG1810">
        <v>1</v>
      </c>
      <c r="GH1810">
        <v>1</v>
      </c>
      <c r="GI1810">
        <v>1</v>
      </c>
      <c r="GJ1810">
        <v>1</v>
      </c>
      <c r="GK1810">
        <v>1</v>
      </c>
      <c r="GL1810">
        <v>1</v>
      </c>
      <c r="GM1810">
        <v>1</v>
      </c>
      <c r="GN1810">
        <v>1</v>
      </c>
    </row>
    <row r="1811" spans="1:207" x14ac:dyDescent="0.25">
      <c r="A1811" t="s">
        <v>202</v>
      </c>
      <c r="B1811" t="s">
        <v>136</v>
      </c>
      <c r="C1811" s="3">
        <v>22.92</v>
      </c>
      <c r="D1811" s="3">
        <v>120.57</v>
      </c>
      <c r="E1811" t="s">
        <v>12</v>
      </c>
      <c r="F1811" t="s">
        <v>20</v>
      </c>
      <c r="G1811" t="s">
        <v>76</v>
      </c>
      <c r="I1811" t="s">
        <v>15</v>
      </c>
      <c r="J1811" t="s">
        <v>12</v>
      </c>
      <c r="K1811" t="s">
        <v>12</v>
      </c>
      <c r="L1811" t="s">
        <v>1081</v>
      </c>
      <c r="M1811" t="s">
        <v>1080</v>
      </c>
      <c r="O1811">
        <v>49.6</v>
      </c>
      <c r="P1811">
        <v>12.6</v>
      </c>
      <c r="DH1811">
        <v>0.5</v>
      </c>
      <c r="DI1811">
        <v>0.5</v>
      </c>
    </row>
    <row r="1812" spans="1:207" x14ac:dyDescent="0.25">
      <c r="A1812" t="s">
        <v>729</v>
      </c>
      <c r="B1812" t="s">
        <v>136</v>
      </c>
      <c r="C1812" s="3">
        <v>23.468611111111112</v>
      </c>
      <c r="D1812" s="3">
        <v>120.87361111111112</v>
      </c>
      <c r="E1812" t="s">
        <v>15</v>
      </c>
      <c r="F1812" t="s">
        <v>77</v>
      </c>
      <c r="G1812" t="s">
        <v>730</v>
      </c>
      <c r="I1812" t="s">
        <v>15</v>
      </c>
      <c r="J1812" t="s">
        <v>12</v>
      </c>
      <c r="K1812" t="s">
        <v>12</v>
      </c>
      <c r="L1812" t="s">
        <v>768</v>
      </c>
      <c r="M1812" t="s">
        <v>827</v>
      </c>
      <c r="O1812">
        <v>4.01</v>
      </c>
      <c r="GI1812">
        <v>1</v>
      </c>
      <c r="GJ1812">
        <v>1</v>
      </c>
      <c r="GW1812">
        <v>1</v>
      </c>
      <c r="GX1812">
        <v>1</v>
      </c>
      <c r="GY1812">
        <v>1</v>
      </c>
    </row>
    <row r="1813" spans="1:207" x14ac:dyDescent="0.25">
      <c r="A1813" t="s">
        <v>460</v>
      </c>
      <c r="B1813" t="s">
        <v>136</v>
      </c>
      <c r="C1813" s="3">
        <v>23.72</v>
      </c>
      <c r="D1813" s="3">
        <v>120.71</v>
      </c>
      <c r="E1813" t="s">
        <v>12</v>
      </c>
      <c r="F1813" t="s">
        <v>22</v>
      </c>
      <c r="G1813" t="s">
        <v>106</v>
      </c>
      <c r="H1813">
        <v>40</v>
      </c>
      <c r="I1813" t="s">
        <v>15</v>
      </c>
      <c r="J1813" t="s">
        <v>12</v>
      </c>
      <c r="K1813" t="s">
        <v>12</v>
      </c>
      <c r="L1813" t="s">
        <v>463</v>
      </c>
      <c r="M1813" t="s">
        <v>970</v>
      </c>
      <c r="O1813">
        <v>67</v>
      </c>
      <c r="P1813">
        <v>27</v>
      </c>
      <c r="BX1813">
        <v>0.25</v>
      </c>
      <c r="CA1813">
        <v>0.25</v>
      </c>
    </row>
    <row r="1814" spans="1:207" x14ac:dyDescent="0.25">
      <c r="A1814" t="s">
        <v>738</v>
      </c>
      <c r="B1814" t="s">
        <v>136</v>
      </c>
      <c r="C1814" s="3">
        <v>23.58</v>
      </c>
      <c r="D1814" s="3">
        <v>119.62</v>
      </c>
      <c r="E1814" t="s">
        <v>12</v>
      </c>
      <c r="F1814" t="s">
        <v>20</v>
      </c>
      <c r="G1814" t="s">
        <v>97</v>
      </c>
      <c r="I1814" t="s">
        <v>15</v>
      </c>
      <c r="J1814" t="s">
        <v>12</v>
      </c>
      <c r="K1814" t="s">
        <v>12</v>
      </c>
      <c r="L1814" t="s">
        <v>776</v>
      </c>
      <c r="M1814" t="s">
        <v>834</v>
      </c>
      <c r="O1814">
        <v>22.2</v>
      </c>
      <c r="P1814">
        <v>1.9</v>
      </c>
      <c r="DI1814">
        <v>1</v>
      </c>
      <c r="DJ1814">
        <v>1</v>
      </c>
      <c r="DK1814">
        <v>1</v>
      </c>
      <c r="DL1814">
        <v>1</v>
      </c>
      <c r="DM1814">
        <v>1</v>
      </c>
      <c r="DN1814">
        <v>1</v>
      </c>
      <c r="DO1814">
        <v>1</v>
      </c>
      <c r="DP1814">
        <v>1</v>
      </c>
      <c r="DQ1814">
        <v>1</v>
      </c>
      <c r="DR1814">
        <v>1</v>
      </c>
      <c r="DS1814">
        <v>1</v>
      </c>
      <c r="DT1814">
        <v>1</v>
      </c>
    </row>
    <row r="1815" spans="1:207" x14ac:dyDescent="0.25">
      <c r="A1815" t="s">
        <v>738</v>
      </c>
      <c r="B1815" t="s">
        <v>136</v>
      </c>
      <c r="C1815" s="3">
        <v>23.58</v>
      </c>
      <c r="D1815" s="3">
        <v>119.62</v>
      </c>
      <c r="E1815" t="s">
        <v>12</v>
      </c>
      <c r="F1815" t="s">
        <v>20</v>
      </c>
      <c r="G1815" t="s">
        <v>97</v>
      </c>
      <c r="I1815" t="s">
        <v>15</v>
      </c>
      <c r="J1815" t="s">
        <v>12</v>
      </c>
      <c r="K1815" t="s">
        <v>12</v>
      </c>
      <c r="L1815" t="s">
        <v>776</v>
      </c>
      <c r="M1815" t="s">
        <v>834</v>
      </c>
      <c r="O1815">
        <v>26.6</v>
      </c>
      <c r="P1815">
        <v>1.9</v>
      </c>
      <c r="DU1815">
        <v>1</v>
      </c>
      <c r="DV1815">
        <v>1</v>
      </c>
      <c r="DW1815">
        <v>1</v>
      </c>
      <c r="DX1815">
        <v>1</v>
      </c>
      <c r="DY1815">
        <v>1</v>
      </c>
      <c r="DZ1815">
        <v>1</v>
      </c>
      <c r="EA1815">
        <v>1</v>
      </c>
      <c r="EB1815">
        <v>1</v>
      </c>
      <c r="EC1815">
        <v>1</v>
      </c>
      <c r="ED1815">
        <v>1</v>
      </c>
      <c r="EE1815">
        <v>1</v>
      </c>
      <c r="EF1815">
        <v>1</v>
      </c>
    </row>
    <row r="1816" spans="1:207" x14ac:dyDescent="0.25">
      <c r="A1816" t="s">
        <v>738</v>
      </c>
      <c r="B1816" t="s">
        <v>136</v>
      </c>
      <c r="C1816" s="3">
        <v>23.58</v>
      </c>
      <c r="D1816" s="3">
        <v>119.62</v>
      </c>
      <c r="E1816" t="s">
        <v>12</v>
      </c>
      <c r="F1816" t="s">
        <v>20</v>
      </c>
      <c r="G1816" t="s">
        <v>97</v>
      </c>
      <c r="I1816" t="s">
        <v>15</v>
      </c>
      <c r="J1816" t="s">
        <v>12</v>
      </c>
      <c r="K1816" t="s">
        <v>12</v>
      </c>
      <c r="L1816" t="s">
        <v>776</v>
      </c>
      <c r="M1816" t="s">
        <v>834</v>
      </c>
      <c r="O1816">
        <v>24.2</v>
      </c>
      <c r="P1816">
        <v>1.4</v>
      </c>
      <c r="EG1816">
        <v>1</v>
      </c>
      <c r="EH1816">
        <v>1</v>
      </c>
      <c r="EI1816">
        <v>1</v>
      </c>
      <c r="EJ1816">
        <v>1</v>
      </c>
      <c r="EK1816">
        <v>1</v>
      </c>
      <c r="EL1816">
        <v>1</v>
      </c>
      <c r="EM1816">
        <v>1</v>
      </c>
      <c r="EN1816">
        <v>1</v>
      </c>
      <c r="EO1816">
        <v>1</v>
      </c>
      <c r="EP1816">
        <v>1</v>
      </c>
      <c r="EQ1816">
        <v>1</v>
      </c>
      <c r="ER1816">
        <v>1</v>
      </c>
    </row>
    <row r="1817" spans="1:207" x14ac:dyDescent="0.25">
      <c r="A1817" t="s">
        <v>738</v>
      </c>
      <c r="B1817" t="s">
        <v>136</v>
      </c>
      <c r="C1817" s="3">
        <v>23.58</v>
      </c>
      <c r="D1817" s="3">
        <v>119.62</v>
      </c>
      <c r="E1817" t="s">
        <v>12</v>
      </c>
      <c r="F1817" t="s">
        <v>20</v>
      </c>
      <c r="G1817" t="s">
        <v>97</v>
      </c>
      <c r="I1817" t="s">
        <v>15</v>
      </c>
      <c r="J1817" t="s">
        <v>12</v>
      </c>
      <c r="K1817" t="s">
        <v>12</v>
      </c>
      <c r="L1817" t="s">
        <v>776</v>
      </c>
      <c r="M1817" t="s">
        <v>834</v>
      </c>
      <c r="O1817">
        <v>23.2</v>
      </c>
      <c r="P1817">
        <v>1.6</v>
      </c>
      <c r="ES1817">
        <v>1</v>
      </c>
      <c r="ET1817">
        <v>1</v>
      </c>
      <c r="EU1817">
        <v>1</v>
      </c>
      <c r="EV1817">
        <v>1</v>
      </c>
      <c r="EW1817">
        <v>1</v>
      </c>
      <c r="EX1817">
        <v>1</v>
      </c>
      <c r="EY1817">
        <v>1</v>
      </c>
      <c r="EZ1817">
        <v>1</v>
      </c>
      <c r="FA1817">
        <v>1</v>
      </c>
      <c r="FB1817">
        <v>1</v>
      </c>
      <c r="FC1817">
        <v>1</v>
      </c>
      <c r="FD1817">
        <v>1</v>
      </c>
    </row>
    <row r="1818" spans="1:207" x14ac:dyDescent="0.25">
      <c r="A1818" t="s">
        <v>738</v>
      </c>
      <c r="B1818" t="s">
        <v>136</v>
      </c>
      <c r="C1818" s="3">
        <v>23.58</v>
      </c>
      <c r="D1818" s="3">
        <v>119.62</v>
      </c>
      <c r="E1818" t="s">
        <v>12</v>
      </c>
      <c r="F1818" t="s">
        <v>20</v>
      </c>
      <c r="G1818" t="s">
        <v>97</v>
      </c>
      <c r="I1818" t="s">
        <v>15</v>
      </c>
      <c r="J1818" t="s">
        <v>12</v>
      </c>
      <c r="K1818" t="s">
        <v>12</v>
      </c>
      <c r="L1818" t="s">
        <v>776</v>
      </c>
      <c r="M1818" t="s">
        <v>834</v>
      </c>
      <c r="O1818">
        <v>21.5</v>
      </c>
      <c r="P1818">
        <v>1.5</v>
      </c>
      <c r="FE1818">
        <v>1</v>
      </c>
      <c r="FF1818">
        <v>1</v>
      </c>
      <c r="FG1818">
        <v>1</v>
      </c>
      <c r="FH1818">
        <v>1</v>
      </c>
      <c r="FI1818">
        <v>1</v>
      </c>
      <c r="FJ1818">
        <v>1</v>
      </c>
      <c r="FK1818">
        <v>1</v>
      </c>
      <c r="FL1818">
        <v>1</v>
      </c>
      <c r="FM1818">
        <v>1</v>
      </c>
      <c r="FN1818">
        <v>1</v>
      </c>
      <c r="FO1818">
        <v>1</v>
      </c>
      <c r="FP1818">
        <v>1</v>
      </c>
    </row>
    <row r="1819" spans="1:207" x14ac:dyDescent="0.25">
      <c r="A1819" t="s">
        <v>168</v>
      </c>
      <c r="B1819" t="s">
        <v>136</v>
      </c>
      <c r="C1819" s="3">
        <v>22.68</v>
      </c>
      <c r="D1819" s="3">
        <v>120.49</v>
      </c>
      <c r="E1819" t="s">
        <v>12</v>
      </c>
      <c r="F1819" t="s">
        <v>77</v>
      </c>
      <c r="G1819" t="s">
        <v>728</v>
      </c>
      <c r="I1819" t="s">
        <v>12</v>
      </c>
      <c r="J1819" t="s">
        <v>15</v>
      </c>
      <c r="K1819" t="s">
        <v>15</v>
      </c>
      <c r="L1819" t="s">
        <v>767</v>
      </c>
      <c r="M1819" t="s">
        <v>826</v>
      </c>
      <c r="N1819" t="s">
        <v>782</v>
      </c>
      <c r="O1819">
        <v>65.55</v>
      </c>
      <c r="P1819">
        <v>25.540947515705053</v>
      </c>
      <c r="CA1819">
        <v>1</v>
      </c>
      <c r="CN1819">
        <v>1</v>
      </c>
    </row>
    <row r="1820" spans="1:207" x14ac:dyDescent="0.25">
      <c r="A1820" t="s">
        <v>168</v>
      </c>
      <c r="B1820" t="s">
        <v>136</v>
      </c>
      <c r="C1820" s="3">
        <v>22.53</v>
      </c>
      <c r="D1820" s="3">
        <v>120.56</v>
      </c>
      <c r="E1820" t="s">
        <v>12</v>
      </c>
      <c r="F1820" t="s">
        <v>77</v>
      </c>
      <c r="G1820" t="s">
        <v>97</v>
      </c>
      <c r="I1820" t="s">
        <v>15</v>
      </c>
      <c r="J1820" t="s">
        <v>12</v>
      </c>
      <c r="K1820" t="s">
        <v>12</v>
      </c>
      <c r="L1820" t="s">
        <v>776</v>
      </c>
      <c r="M1820" t="s">
        <v>834</v>
      </c>
      <c r="O1820">
        <v>65</v>
      </c>
      <c r="P1820">
        <v>5.3</v>
      </c>
      <c r="DI1820">
        <v>1</v>
      </c>
      <c r="DJ1820">
        <v>1</v>
      </c>
      <c r="DK1820">
        <v>1</v>
      </c>
      <c r="DL1820">
        <v>1</v>
      </c>
      <c r="DM1820">
        <v>1</v>
      </c>
      <c r="DN1820">
        <v>1</v>
      </c>
      <c r="DO1820">
        <v>1</v>
      </c>
      <c r="DP1820">
        <v>1</v>
      </c>
      <c r="DQ1820">
        <v>1</v>
      </c>
      <c r="DR1820">
        <v>1</v>
      </c>
      <c r="DS1820">
        <v>1</v>
      </c>
      <c r="DT1820">
        <v>1</v>
      </c>
    </row>
    <row r="1821" spans="1:207" x14ac:dyDescent="0.25">
      <c r="A1821" t="s">
        <v>168</v>
      </c>
      <c r="B1821" t="s">
        <v>136</v>
      </c>
      <c r="C1821" s="3">
        <v>22.53</v>
      </c>
      <c r="D1821" s="3">
        <v>120.56</v>
      </c>
      <c r="E1821" t="s">
        <v>12</v>
      </c>
      <c r="F1821" t="s">
        <v>77</v>
      </c>
      <c r="G1821" t="s">
        <v>97</v>
      </c>
      <c r="I1821" t="s">
        <v>15</v>
      </c>
      <c r="J1821" t="s">
        <v>12</v>
      </c>
      <c r="K1821" t="s">
        <v>12</v>
      </c>
      <c r="L1821" t="s">
        <v>776</v>
      </c>
      <c r="M1821" t="s">
        <v>834</v>
      </c>
      <c r="O1821">
        <v>58.9</v>
      </c>
      <c r="P1821">
        <v>3.5</v>
      </c>
      <c r="DU1821">
        <v>1</v>
      </c>
      <c r="DV1821">
        <v>1</v>
      </c>
      <c r="DW1821">
        <v>1</v>
      </c>
      <c r="DX1821">
        <v>1</v>
      </c>
      <c r="DY1821">
        <v>1</v>
      </c>
      <c r="DZ1821">
        <v>1</v>
      </c>
      <c r="EA1821">
        <v>1</v>
      </c>
      <c r="EB1821">
        <v>1</v>
      </c>
      <c r="EC1821">
        <v>1</v>
      </c>
      <c r="ED1821">
        <v>1</v>
      </c>
      <c r="EE1821">
        <v>1</v>
      </c>
      <c r="EF1821">
        <v>1</v>
      </c>
    </row>
    <row r="1822" spans="1:207" x14ac:dyDescent="0.25">
      <c r="A1822" t="s">
        <v>168</v>
      </c>
      <c r="B1822" t="s">
        <v>136</v>
      </c>
      <c r="C1822" s="3">
        <v>22.53</v>
      </c>
      <c r="D1822" s="3">
        <v>120.56</v>
      </c>
      <c r="E1822" t="s">
        <v>12</v>
      </c>
      <c r="F1822" t="s">
        <v>77</v>
      </c>
      <c r="G1822" t="s">
        <v>97</v>
      </c>
      <c r="I1822" t="s">
        <v>15</v>
      </c>
      <c r="J1822" t="s">
        <v>12</v>
      </c>
      <c r="K1822" t="s">
        <v>12</v>
      </c>
      <c r="L1822" t="s">
        <v>776</v>
      </c>
      <c r="M1822" t="s">
        <v>834</v>
      </c>
      <c r="O1822">
        <v>62.6</v>
      </c>
      <c r="P1822">
        <v>4.0999999999999996</v>
      </c>
      <c r="EG1822">
        <v>1</v>
      </c>
      <c r="EH1822">
        <v>1</v>
      </c>
      <c r="EI1822">
        <v>1</v>
      </c>
      <c r="EJ1822">
        <v>1</v>
      </c>
      <c r="EK1822">
        <v>1</v>
      </c>
      <c r="EL1822">
        <v>1</v>
      </c>
      <c r="EM1822">
        <v>1</v>
      </c>
      <c r="EN1822">
        <v>1</v>
      </c>
      <c r="EO1822">
        <v>1</v>
      </c>
      <c r="EP1822">
        <v>1</v>
      </c>
      <c r="EQ1822">
        <v>1</v>
      </c>
      <c r="ER1822">
        <v>1</v>
      </c>
    </row>
    <row r="1823" spans="1:207" x14ac:dyDescent="0.25">
      <c r="A1823" t="s">
        <v>168</v>
      </c>
      <c r="B1823" t="s">
        <v>136</v>
      </c>
      <c r="C1823" s="3">
        <v>22.53</v>
      </c>
      <c r="D1823" s="3">
        <v>120.56</v>
      </c>
      <c r="E1823" t="s">
        <v>12</v>
      </c>
      <c r="F1823" t="s">
        <v>77</v>
      </c>
      <c r="G1823" t="s">
        <v>97</v>
      </c>
      <c r="I1823" t="s">
        <v>15</v>
      </c>
      <c r="J1823" t="s">
        <v>12</v>
      </c>
      <c r="K1823" t="s">
        <v>12</v>
      </c>
      <c r="L1823" t="s">
        <v>776</v>
      </c>
      <c r="M1823" t="s">
        <v>834</v>
      </c>
      <c r="O1823">
        <v>51.2</v>
      </c>
      <c r="P1823">
        <v>2.6</v>
      </c>
      <c r="ES1823">
        <v>1</v>
      </c>
      <c r="ET1823">
        <v>1</v>
      </c>
      <c r="EU1823">
        <v>1</v>
      </c>
      <c r="EV1823">
        <v>1</v>
      </c>
      <c r="EW1823">
        <v>1</v>
      </c>
      <c r="EX1823">
        <v>1</v>
      </c>
      <c r="EY1823">
        <v>1</v>
      </c>
      <c r="EZ1823">
        <v>1</v>
      </c>
      <c r="FA1823">
        <v>1</v>
      </c>
      <c r="FB1823">
        <v>1</v>
      </c>
      <c r="FC1823">
        <v>1</v>
      </c>
      <c r="FD1823">
        <v>1</v>
      </c>
    </row>
    <row r="1824" spans="1:207" x14ac:dyDescent="0.25">
      <c r="A1824" t="s">
        <v>168</v>
      </c>
      <c r="B1824" t="s">
        <v>136</v>
      </c>
      <c r="C1824" s="3">
        <v>22.53</v>
      </c>
      <c r="D1824" s="3">
        <v>120.56</v>
      </c>
      <c r="E1824" t="s">
        <v>12</v>
      </c>
      <c r="F1824" t="s">
        <v>77</v>
      </c>
      <c r="G1824" t="s">
        <v>97</v>
      </c>
      <c r="I1824" t="s">
        <v>15</v>
      </c>
      <c r="J1824" t="s">
        <v>12</v>
      </c>
      <c r="K1824" t="s">
        <v>12</v>
      </c>
      <c r="L1824" t="s">
        <v>776</v>
      </c>
      <c r="M1824" t="s">
        <v>834</v>
      </c>
      <c r="O1824">
        <v>46.7</v>
      </c>
      <c r="P1824">
        <v>5.6</v>
      </c>
      <c r="FE1824">
        <v>1</v>
      </c>
      <c r="FF1824">
        <v>1</v>
      </c>
      <c r="FG1824">
        <v>1</v>
      </c>
      <c r="FH1824">
        <v>1</v>
      </c>
      <c r="FI1824">
        <v>1</v>
      </c>
      <c r="FJ1824">
        <v>1</v>
      </c>
      <c r="FK1824">
        <v>1</v>
      </c>
      <c r="FL1824">
        <v>1</v>
      </c>
      <c r="FM1824">
        <v>1</v>
      </c>
      <c r="FN1824">
        <v>1</v>
      </c>
      <c r="FO1824">
        <v>1</v>
      </c>
      <c r="FP1824">
        <v>1</v>
      </c>
    </row>
    <row r="1825" spans="1:160" x14ac:dyDescent="0.25">
      <c r="A1825" t="s">
        <v>168</v>
      </c>
      <c r="B1825" t="s">
        <v>136</v>
      </c>
      <c r="C1825" s="3">
        <v>22.54</v>
      </c>
      <c r="D1825" s="3">
        <v>120.53</v>
      </c>
      <c r="E1825" t="s">
        <v>12</v>
      </c>
      <c r="F1825" t="s">
        <v>20</v>
      </c>
      <c r="G1825" t="s">
        <v>95</v>
      </c>
      <c r="H1825">
        <v>40</v>
      </c>
      <c r="I1825" t="s">
        <v>12</v>
      </c>
      <c r="J1825" t="s">
        <v>12</v>
      </c>
      <c r="K1825" t="s">
        <v>15</v>
      </c>
      <c r="L1825" t="s">
        <v>169</v>
      </c>
      <c r="M1825" t="s">
        <v>1091</v>
      </c>
      <c r="O1825">
        <v>45.7</v>
      </c>
      <c r="EI1825">
        <v>0.25</v>
      </c>
      <c r="EJ1825">
        <v>0.25</v>
      </c>
      <c r="EK1825">
        <v>0.25</v>
      </c>
      <c r="EL1825">
        <v>0.25</v>
      </c>
      <c r="EM1825">
        <v>0.25</v>
      </c>
      <c r="EN1825">
        <v>0.25</v>
      </c>
      <c r="EO1825">
        <v>0.25</v>
      </c>
      <c r="EP1825">
        <v>0.25</v>
      </c>
    </row>
    <row r="1826" spans="1:160" x14ac:dyDescent="0.25">
      <c r="A1826" t="s">
        <v>168</v>
      </c>
      <c r="B1826" t="s">
        <v>136</v>
      </c>
      <c r="C1826" s="3">
        <v>22.67</v>
      </c>
      <c r="D1826" s="3">
        <v>120.49</v>
      </c>
      <c r="E1826" t="s">
        <v>12</v>
      </c>
      <c r="F1826" t="s">
        <v>77</v>
      </c>
      <c r="G1826" t="s">
        <v>95</v>
      </c>
      <c r="H1826">
        <v>40</v>
      </c>
      <c r="I1826" t="s">
        <v>12</v>
      </c>
      <c r="J1826" t="s">
        <v>12</v>
      </c>
      <c r="K1826" t="s">
        <v>15</v>
      </c>
      <c r="L1826" t="s">
        <v>169</v>
      </c>
      <c r="M1826" t="s">
        <v>1091</v>
      </c>
      <c r="O1826">
        <v>47.4</v>
      </c>
      <c r="EI1826">
        <v>0.25</v>
      </c>
      <c r="EJ1826">
        <v>0.25</v>
      </c>
      <c r="EK1826">
        <v>0.25</v>
      </c>
      <c r="EL1826">
        <v>0.25</v>
      </c>
      <c r="EM1826">
        <v>0.25</v>
      </c>
      <c r="EN1826">
        <v>0.25</v>
      </c>
      <c r="EO1826">
        <v>0.25</v>
      </c>
      <c r="EP1826">
        <v>0.25</v>
      </c>
    </row>
    <row r="1827" spans="1:160" x14ac:dyDescent="0.25">
      <c r="A1827" t="s">
        <v>462</v>
      </c>
      <c r="B1827" t="s">
        <v>136</v>
      </c>
      <c r="C1827" s="3">
        <v>23.82</v>
      </c>
      <c r="D1827" s="3">
        <v>121.09</v>
      </c>
      <c r="E1827" t="s">
        <v>12</v>
      </c>
      <c r="F1827" t="s">
        <v>20</v>
      </c>
      <c r="G1827" t="s">
        <v>106</v>
      </c>
      <c r="H1827">
        <v>40</v>
      </c>
      <c r="I1827" t="s">
        <v>15</v>
      </c>
      <c r="J1827" t="s">
        <v>12</v>
      </c>
      <c r="K1827" t="s">
        <v>12</v>
      </c>
      <c r="L1827" t="s">
        <v>463</v>
      </c>
      <c r="M1827" t="s">
        <v>970</v>
      </c>
      <c r="O1827">
        <v>88</v>
      </c>
      <c r="P1827">
        <v>37</v>
      </c>
      <c r="BX1827">
        <v>0.25</v>
      </c>
      <c r="CA1827">
        <v>0.25</v>
      </c>
    </row>
    <row r="1828" spans="1:160" x14ac:dyDescent="0.25">
      <c r="A1828" t="s">
        <v>733</v>
      </c>
      <c r="B1828" t="s">
        <v>136</v>
      </c>
      <c r="C1828" s="3">
        <v>24.02</v>
      </c>
      <c r="D1828" s="3">
        <v>121.14</v>
      </c>
      <c r="E1828" t="s">
        <v>12</v>
      </c>
      <c r="F1828" t="s">
        <v>20</v>
      </c>
      <c r="G1828" t="s">
        <v>734</v>
      </c>
      <c r="I1828" t="s">
        <v>12</v>
      </c>
      <c r="J1828" t="s">
        <v>15</v>
      </c>
      <c r="K1828" t="s">
        <v>12</v>
      </c>
      <c r="L1828" t="s">
        <v>770</v>
      </c>
      <c r="M1828" t="s">
        <v>831</v>
      </c>
      <c r="O1828">
        <v>26.7</v>
      </c>
      <c r="P1828">
        <v>9.6</v>
      </c>
      <c r="DF1828">
        <v>1</v>
      </c>
    </row>
    <row r="1829" spans="1:160" x14ac:dyDescent="0.25">
      <c r="A1829" t="s">
        <v>620</v>
      </c>
      <c r="B1829" t="s">
        <v>136</v>
      </c>
      <c r="C1829" s="3">
        <f t="shared" ref="C1829:C1864" si="50">24+13/60+32.3/3600</f>
        <v>24.225638888888888</v>
      </c>
      <c r="D1829" s="3">
        <f t="shared" ref="D1829:D1864" si="51">120+34/60+7.6/3600</f>
        <v>120.56877777777777</v>
      </c>
      <c r="E1829" t="s">
        <v>15</v>
      </c>
      <c r="F1829" t="s">
        <v>19</v>
      </c>
      <c r="G1829" t="s">
        <v>214</v>
      </c>
      <c r="I1829" t="s">
        <v>12</v>
      </c>
      <c r="J1829" t="s">
        <v>12</v>
      </c>
      <c r="K1829" t="s">
        <v>12</v>
      </c>
      <c r="L1829" t="s">
        <v>624</v>
      </c>
      <c r="M1829" t="s">
        <v>868</v>
      </c>
      <c r="O1829">
        <v>40</v>
      </c>
      <c r="ES1829">
        <v>1</v>
      </c>
    </row>
    <row r="1830" spans="1:160" x14ac:dyDescent="0.25">
      <c r="A1830" t="s">
        <v>620</v>
      </c>
      <c r="B1830" t="s">
        <v>136</v>
      </c>
      <c r="C1830" s="3">
        <f t="shared" si="50"/>
        <v>24.225638888888888</v>
      </c>
      <c r="D1830" s="3">
        <f t="shared" si="51"/>
        <v>120.56877777777777</v>
      </c>
      <c r="E1830" t="s">
        <v>15</v>
      </c>
      <c r="F1830" t="s">
        <v>19</v>
      </c>
      <c r="G1830" t="s">
        <v>214</v>
      </c>
      <c r="I1830" t="s">
        <v>12</v>
      </c>
      <c r="J1830" t="s">
        <v>12</v>
      </c>
      <c r="K1830" t="s">
        <v>12</v>
      </c>
      <c r="L1830" t="s">
        <v>624</v>
      </c>
      <c r="M1830" t="s">
        <v>868</v>
      </c>
      <c r="O1830">
        <v>36</v>
      </c>
      <c r="ET1830">
        <v>1</v>
      </c>
    </row>
    <row r="1831" spans="1:160" x14ac:dyDescent="0.25">
      <c r="A1831" t="s">
        <v>620</v>
      </c>
      <c r="B1831" t="s">
        <v>136</v>
      </c>
      <c r="C1831" s="3">
        <f t="shared" si="50"/>
        <v>24.225638888888888</v>
      </c>
      <c r="D1831" s="3">
        <f t="shared" si="51"/>
        <v>120.56877777777777</v>
      </c>
      <c r="E1831" t="s">
        <v>15</v>
      </c>
      <c r="F1831" t="s">
        <v>19</v>
      </c>
      <c r="G1831" t="s">
        <v>214</v>
      </c>
      <c r="I1831" t="s">
        <v>12</v>
      </c>
      <c r="J1831" t="s">
        <v>12</v>
      </c>
      <c r="K1831" t="s">
        <v>12</v>
      </c>
      <c r="L1831" t="s">
        <v>624</v>
      </c>
      <c r="M1831" t="s">
        <v>868</v>
      </c>
      <c r="O1831">
        <v>44</v>
      </c>
      <c r="EU1831">
        <v>1</v>
      </c>
    </row>
    <row r="1832" spans="1:160" x14ac:dyDescent="0.25">
      <c r="A1832" t="s">
        <v>620</v>
      </c>
      <c r="B1832" t="s">
        <v>136</v>
      </c>
      <c r="C1832" s="3">
        <f t="shared" si="50"/>
        <v>24.225638888888888</v>
      </c>
      <c r="D1832" s="3">
        <f t="shared" si="51"/>
        <v>120.56877777777777</v>
      </c>
      <c r="E1832" t="s">
        <v>15</v>
      </c>
      <c r="F1832" t="s">
        <v>19</v>
      </c>
      <c r="G1832" t="s">
        <v>214</v>
      </c>
      <c r="I1832" t="s">
        <v>12</v>
      </c>
      <c r="J1832" t="s">
        <v>12</v>
      </c>
      <c r="K1832" t="s">
        <v>12</v>
      </c>
      <c r="L1832" t="s">
        <v>624</v>
      </c>
      <c r="M1832" t="s">
        <v>868</v>
      </c>
      <c r="O1832">
        <v>32</v>
      </c>
      <c r="EV1832">
        <v>1</v>
      </c>
    </row>
    <row r="1833" spans="1:160" x14ac:dyDescent="0.25">
      <c r="A1833" t="s">
        <v>620</v>
      </c>
      <c r="B1833" t="s">
        <v>136</v>
      </c>
      <c r="C1833" s="3">
        <f t="shared" si="50"/>
        <v>24.225638888888888</v>
      </c>
      <c r="D1833" s="3">
        <f t="shared" si="51"/>
        <v>120.56877777777777</v>
      </c>
      <c r="E1833" t="s">
        <v>15</v>
      </c>
      <c r="F1833" t="s">
        <v>19</v>
      </c>
      <c r="G1833" t="s">
        <v>214</v>
      </c>
      <c r="I1833" t="s">
        <v>12</v>
      </c>
      <c r="J1833" t="s">
        <v>12</v>
      </c>
      <c r="K1833" t="s">
        <v>12</v>
      </c>
      <c r="L1833" t="s">
        <v>624</v>
      </c>
      <c r="M1833" t="s">
        <v>868</v>
      </c>
      <c r="O1833">
        <v>32</v>
      </c>
      <c r="EW1833">
        <v>1</v>
      </c>
    </row>
    <row r="1834" spans="1:160" x14ac:dyDescent="0.25">
      <c r="A1834" t="s">
        <v>620</v>
      </c>
      <c r="B1834" t="s">
        <v>136</v>
      </c>
      <c r="C1834" s="3">
        <f t="shared" si="50"/>
        <v>24.225638888888888</v>
      </c>
      <c r="D1834" s="3">
        <f t="shared" si="51"/>
        <v>120.56877777777777</v>
      </c>
      <c r="E1834" t="s">
        <v>15</v>
      </c>
      <c r="F1834" t="s">
        <v>19</v>
      </c>
      <c r="G1834" t="s">
        <v>214</v>
      </c>
      <c r="I1834" t="s">
        <v>12</v>
      </c>
      <c r="J1834" t="s">
        <v>12</v>
      </c>
      <c r="K1834" t="s">
        <v>12</v>
      </c>
      <c r="L1834" t="s">
        <v>624</v>
      </c>
      <c r="M1834" t="s">
        <v>868</v>
      </c>
      <c r="O1834">
        <v>16</v>
      </c>
      <c r="EX1834">
        <v>1</v>
      </c>
    </row>
    <row r="1835" spans="1:160" x14ac:dyDescent="0.25">
      <c r="A1835" t="s">
        <v>620</v>
      </c>
      <c r="B1835" t="s">
        <v>136</v>
      </c>
      <c r="C1835" s="3">
        <f t="shared" si="50"/>
        <v>24.225638888888888</v>
      </c>
      <c r="D1835" s="3">
        <f t="shared" si="51"/>
        <v>120.56877777777777</v>
      </c>
      <c r="E1835" t="s">
        <v>15</v>
      </c>
      <c r="F1835" t="s">
        <v>19</v>
      </c>
      <c r="G1835" t="s">
        <v>214</v>
      </c>
      <c r="I1835" t="s">
        <v>12</v>
      </c>
      <c r="J1835" t="s">
        <v>12</v>
      </c>
      <c r="K1835" t="s">
        <v>12</v>
      </c>
      <c r="L1835" t="s">
        <v>624</v>
      </c>
      <c r="M1835" t="s">
        <v>868</v>
      </c>
      <c r="O1835">
        <v>16</v>
      </c>
      <c r="EY1835">
        <v>1</v>
      </c>
    </row>
    <row r="1836" spans="1:160" x14ac:dyDescent="0.25">
      <c r="A1836" t="s">
        <v>620</v>
      </c>
      <c r="B1836" t="s">
        <v>136</v>
      </c>
      <c r="C1836" s="3">
        <f t="shared" si="50"/>
        <v>24.225638888888888</v>
      </c>
      <c r="D1836" s="3">
        <f t="shared" si="51"/>
        <v>120.56877777777777</v>
      </c>
      <c r="E1836" t="s">
        <v>15</v>
      </c>
      <c r="F1836" t="s">
        <v>19</v>
      </c>
      <c r="G1836" t="s">
        <v>214</v>
      </c>
      <c r="I1836" t="s">
        <v>12</v>
      </c>
      <c r="J1836" t="s">
        <v>12</v>
      </c>
      <c r="K1836" t="s">
        <v>12</v>
      </c>
      <c r="L1836" t="s">
        <v>624</v>
      </c>
      <c r="M1836" t="s">
        <v>868</v>
      </c>
      <c r="O1836">
        <v>26</v>
      </c>
      <c r="EZ1836">
        <v>1</v>
      </c>
    </row>
    <row r="1837" spans="1:160" x14ac:dyDescent="0.25">
      <c r="A1837" t="s">
        <v>620</v>
      </c>
      <c r="B1837" t="s">
        <v>136</v>
      </c>
      <c r="C1837" s="3">
        <f t="shared" si="50"/>
        <v>24.225638888888888</v>
      </c>
      <c r="D1837" s="3">
        <f t="shared" si="51"/>
        <v>120.56877777777777</v>
      </c>
      <c r="E1837" t="s">
        <v>15</v>
      </c>
      <c r="F1837" t="s">
        <v>19</v>
      </c>
      <c r="G1837" t="s">
        <v>214</v>
      </c>
      <c r="I1837" t="s">
        <v>12</v>
      </c>
      <c r="J1837" t="s">
        <v>12</v>
      </c>
      <c r="K1837" t="s">
        <v>12</v>
      </c>
      <c r="L1837" t="s">
        <v>624</v>
      </c>
      <c r="M1837" t="s">
        <v>868</v>
      </c>
      <c r="O1837">
        <v>28</v>
      </c>
      <c r="FA1837">
        <v>1</v>
      </c>
    </row>
    <row r="1838" spans="1:160" x14ac:dyDescent="0.25">
      <c r="A1838" t="s">
        <v>620</v>
      </c>
      <c r="B1838" t="s">
        <v>136</v>
      </c>
      <c r="C1838" s="3">
        <f t="shared" si="50"/>
        <v>24.225638888888888</v>
      </c>
      <c r="D1838" s="3">
        <f t="shared" si="51"/>
        <v>120.56877777777777</v>
      </c>
      <c r="E1838" t="s">
        <v>15</v>
      </c>
      <c r="F1838" t="s">
        <v>19</v>
      </c>
      <c r="G1838" t="s">
        <v>214</v>
      </c>
      <c r="I1838" t="s">
        <v>12</v>
      </c>
      <c r="J1838" t="s">
        <v>12</v>
      </c>
      <c r="K1838" t="s">
        <v>12</v>
      </c>
      <c r="L1838" t="s">
        <v>624</v>
      </c>
      <c r="M1838" t="s">
        <v>868</v>
      </c>
      <c r="O1838">
        <v>42</v>
      </c>
      <c r="FB1838">
        <v>1</v>
      </c>
    </row>
    <row r="1839" spans="1:160" x14ac:dyDescent="0.25">
      <c r="A1839" t="s">
        <v>620</v>
      </c>
      <c r="B1839" t="s">
        <v>136</v>
      </c>
      <c r="C1839" s="3">
        <f t="shared" si="50"/>
        <v>24.225638888888888</v>
      </c>
      <c r="D1839" s="3">
        <f t="shared" si="51"/>
        <v>120.56877777777777</v>
      </c>
      <c r="E1839" t="s">
        <v>15</v>
      </c>
      <c r="F1839" t="s">
        <v>19</v>
      </c>
      <c r="G1839" t="s">
        <v>214</v>
      </c>
      <c r="I1839" t="s">
        <v>12</v>
      </c>
      <c r="J1839" t="s">
        <v>12</v>
      </c>
      <c r="K1839" t="s">
        <v>12</v>
      </c>
      <c r="L1839" t="s">
        <v>624</v>
      </c>
      <c r="M1839" t="s">
        <v>868</v>
      </c>
      <c r="O1839">
        <v>39</v>
      </c>
      <c r="FC1839">
        <v>1</v>
      </c>
    </row>
    <row r="1840" spans="1:160" x14ac:dyDescent="0.25">
      <c r="A1840" t="s">
        <v>620</v>
      </c>
      <c r="B1840" t="s">
        <v>136</v>
      </c>
      <c r="C1840" s="3">
        <f t="shared" si="50"/>
        <v>24.225638888888888</v>
      </c>
      <c r="D1840" s="3">
        <f t="shared" si="51"/>
        <v>120.56877777777777</v>
      </c>
      <c r="E1840" t="s">
        <v>15</v>
      </c>
      <c r="F1840" t="s">
        <v>19</v>
      </c>
      <c r="G1840" t="s">
        <v>214</v>
      </c>
      <c r="I1840" t="s">
        <v>12</v>
      </c>
      <c r="J1840" t="s">
        <v>12</v>
      </c>
      <c r="K1840" t="s">
        <v>12</v>
      </c>
      <c r="L1840" t="s">
        <v>624</v>
      </c>
      <c r="M1840" t="s">
        <v>868</v>
      </c>
      <c r="O1840">
        <v>30</v>
      </c>
      <c r="FD1840">
        <v>1</v>
      </c>
    </row>
    <row r="1841" spans="1:176" x14ac:dyDescent="0.25">
      <c r="A1841" t="s">
        <v>620</v>
      </c>
      <c r="B1841" t="s">
        <v>136</v>
      </c>
      <c r="C1841" s="3">
        <f t="shared" si="50"/>
        <v>24.225638888888888</v>
      </c>
      <c r="D1841" s="3">
        <f t="shared" si="51"/>
        <v>120.56877777777777</v>
      </c>
      <c r="E1841" t="s">
        <v>15</v>
      </c>
      <c r="F1841" t="s">
        <v>19</v>
      </c>
      <c r="G1841" t="s">
        <v>214</v>
      </c>
      <c r="I1841" t="s">
        <v>12</v>
      </c>
      <c r="J1841" t="s">
        <v>12</v>
      </c>
      <c r="K1841" t="s">
        <v>12</v>
      </c>
      <c r="L1841" t="s">
        <v>624</v>
      </c>
      <c r="M1841" t="s">
        <v>868</v>
      </c>
      <c r="O1841">
        <v>36</v>
      </c>
      <c r="FE1841">
        <v>1</v>
      </c>
    </row>
    <row r="1842" spans="1:176" x14ac:dyDescent="0.25">
      <c r="A1842" t="s">
        <v>620</v>
      </c>
      <c r="B1842" t="s">
        <v>136</v>
      </c>
      <c r="C1842" s="3">
        <f t="shared" si="50"/>
        <v>24.225638888888888</v>
      </c>
      <c r="D1842" s="3">
        <f t="shared" si="51"/>
        <v>120.56877777777777</v>
      </c>
      <c r="E1842" t="s">
        <v>15</v>
      </c>
      <c r="F1842" t="s">
        <v>19</v>
      </c>
      <c r="G1842" t="s">
        <v>214</v>
      </c>
      <c r="I1842" t="s">
        <v>12</v>
      </c>
      <c r="J1842" t="s">
        <v>12</v>
      </c>
      <c r="K1842" t="s">
        <v>12</v>
      </c>
      <c r="L1842" t="s">
        <v>624</v>
      </c>
      <c r="M1842" t="s">
        <v>868</v>
      </c>
      <c r="O1842">
        <v>48</v>
      </c>
      <c r="FF1842">
        <v>1</v>
      </c>
    </row>
    <row r="1843" spans="1:176" x14ac:dyDescent="0.25">
      <c r="A1843" t="s">
        <v>620</v>
      </c>
      <c r="B1843" t="s">
        <v>136</v>
      </c>
      <c r="C1843" s="3">
        <f t="shared" si="50"/>
        <v>24.225638888888888</v>
      </c>
      <c r="D1843" s="3">
        <f t="shared" si="51"/>
        <v>120.56877777777777</v>
      </c>
      <c r="E1843" t="s">
        <v>15</v>
      </c>
      <c r="F1843" t="s">
        <v>19</v>
      </c>
      <c r="G1843" t="s">
        <v>214</v>
      </c>
      <c r="I1843" t="s">
        <v>12</v>
      </c>
      <c r="J1843" t="s">
        <v>12</v>
      </c>
      <c r="K1843" t="s">
        <v>12</v>
      </c>
      <c r="L1843" t="s">
        <v>624</v>
      </c>
      <c r="M1843" t="s">
        <v>868</v>
      </c>
      <c r="O1843">
        <v>35</v>
      </c>
      <c r="FG1843">
        <v>1</v>
      </c>
    </row>
    <row r="1844" spans="1:176" x14ac:dyDescent="0.25">
      <c r="A1844" t="s">
        <v>620</v>
      </c>
      <c r="B1844" t="s">
        <v>136</v>
      </c>
      <c r="C1844" s="3">
        <f t="shared" si="50"/>
        <v>24.225638888888888</v>
      </c>
      <c r="D1844" s="3">
        <f t="shared" si="51"/>
        <v>120.56877777777777</v>
      </c>
      <c r="E1844" t="s">
        <v>15</v>
      </c>
      <c r="F1844" t="s">
        <v>19</v>
      </c>
      <c r="G1844" t="s">
        <v>214</v>
      </c>
      <c r="I1844" t="s">
        <v>12</v>
      </c>
      <c r="J1844" t="s">
        <v>12</v>
      </c>
      <c r="K1844" t="s">
        <v>12</v>
      </c>
      <c r="L1844" t="s">
        <v>624</v>
      </c>
      <c r="M1844" t="s">
        <v>868</v>
      </c>
      <c r="O1844">
        <v>37</v>
      </c>
      <c r="FH1844">
        <v>1</v>
      </c>
    </row>
    <row r="1845" spans="1:176" x14ac:dyDescent="0.25">
      <c r="A1845" t="s">
        <v>620</v>
      </c>
      <c r="B1845" t="s">
        <v>136</v>
      </c>
      <c r="C1845" s="3">
        <f t="shared" si="50"/>
        <v>24.225638888888888</v>
      </c>
      <c r="D1845" s="3">
        <f t="shared" si="51"/>
        <v>120.56877777777777</v>
      </c>
      <c r="E1845" t="s">
        <v>15</v>
      </c>
      <c r="F1845" t="s">
        <v>19</v>
      </c>
      <c r="G1845" t="s">
        <v>214</v>
      </c>
      <c r="I1845" t="s">
        <v>12</v>
      </c>
      <c r="J1845" t="s">
        <v>12</v>
      </c>
      <c r="K1845" t="s">
        <v>12</v>
      </c>
      <c r="L1845" t="s">
        <v>624</v>
      </c>
      <c r="M1845" t="s">
        <v>868</v>
      </c>
      <c r="O1845">
        <v>29</v>
      </c>
      <c r="FI1845">
        <v>1</v>
      </c>
    </row>
    <row r="1846" spans="1:176" x14ac:dyDescent="0.25">
      <c r="A1846" t="s">
        <v>620</v>
      </c>
      <c r="B1846" t="s">
        <v>136</v>
      </c>
      <c r="C1846" s="3">
        <f t="shared" si="50"/>
        <v>24.225638888888888</v>
      </c>
      <c r="D1846" s="3">
        <f t="shared" si="51"/>
        <v>120.56877777777777</v>
      </c>
      <c r="E1846" t="s">
        <v>15</v>
      </c>
      <c r="F1846" t="s">
        <v>19</v>
      </c>
      <c r="G1846" t="s">
        <v>214</v>
      </c>
      <c r="I1846" t="s">
        <v>12</v>
      </c>
      <c r="J1846" t="s">
        <v>12</v>
      </c>
      <c r="K1846" t="s">
        <v>12</v>
      </c>
      <c r="L1846" t="s">
        <v>624</v>
      </c>
      <c r="M1846" t="s">
        <v>868</v>
      </c>
      <c r="O1846">
        <v>13</v>
      </c>
      <c r="FJ1846">
        <v>1</v>
      </c>
    </row>
    <row r="1847" spans="1:176" x14ac:dyDescent="0.25">
      <c r="A1847" t="s">
        <v>620</v>
      </c>
      <c r="B1847" t="s">
        <v>136</v>
      </c>
      <c r="C1847" s="3">
        <f t="shared" si="50"/>
        <v>24.225638888888888</v>
      </c>
      <c r="D1847" s="3">
        <f t="shared" si="51"/>
        <v>120.56877777777777</v>
      </c>
      <c r="E1847" t="s">
        <v>15</v>
      </c>
      <c r="F1847" t="s">
        <v>19</v>
      </c>
      <c r="G1847" t="s">
        <v>214</v>
      </c>
      <c r="I1847" t="s">
        <v>12</v>
      </c>
      <c r="J1847" t="s">
        <v>12</v>
      </c>
      <c r="K1847" t="s">
        <v>12</v>
      </c>
      <c r="L1847" t="s">
        <v>624</v>
      </c>
      <c r="M1847" t="s">
        <v>868</v>
      </c>
      <c r="O1847">
        <v>16</v>
      </c>
      <c r="FK1847">
        <v>1</v>
      </c>
    </row>
    <row r="1848" spans="1:176" x14ac:dyDescent="0.25">
      <c r="A1848" t="s">
        <v>620</v>
      </c>
      <c r="B1848" t="s">
        <v>136</v>
      </c>
      <c r="C1848" s="3">
        <f t="shared" si="50"/>
        <v>24.225638888888888</v>
      </c>
      <c r="D1848" s="3">
        <f t="shared" si="51"/>
        <v>120.56877777777777</v>
      </c>
      <c r="E1848" t="s">
        <v>15</v>
      </c>
      <c r="F1848" t="s">
        <v>19</v>
      </c>
      <c r="G1848" t="s">
        <v>214</v>
      </c>
      <c r="I1848" t="s">
        <v>12</v>
      </c>
      <c r="J1848" t="s">
        <v>12</v>
      </c>
      <c r="K1848" t="s">
        <v>12</v>
      </c>
      <c r="L1848" t="s">
        <v>624</v>
      </c>
      <c r="M1848" t="s">
        <v>868</v>
      </c>
      <c r="O1848">
        <v>17</v>
      </c>
      <c r="FL1848">
        <v>1</v>
      </c>
    </row>
    <row r="1849" spans="1:176" x14ac:dyDescent="0.25">
      <c r="A1849" t="s">
        <v>620</v>
      </c>
      <c r="B1849" t="s">
        <v>136</v>
      </c>
      <c r="C1849" s="3">
        <f t="shared" si="50"/>
        <v>24.225638888888888</v>
      </c>
      <c r="D1849" s="3">
        <f t="shared" si="51"/>
        <v>120.56877777777777</v>
      </c>
      <c r="E1849" t="s">
        <v>15</v>
      </c>
      <c r="F1849" t="s">
        <v>19</v>
      </c>
      <c r="G1849" t="s">
        <v>214</v>
      </c>
      <c r="I1849" t="s">
        <v>12</v>
      </c>
      <c r="J1849" t="s">
        <v>12</v>
      </c>
      <c r="K1849" t="s">
        <v>12</v>
      </c>
      <c r="L1849" t="s">
        <v>624</v>
      </c>
      <c r="M1849" t="s">
        <v>868</v>
      </c>
      <c r="O1849">
        <v>36</v>
      </c>
      <c r="FM1849">
        <v>1</v>
      </c>
    </row>
    <row r="1850" spans="1:176" x14ac:dyDescent="0.25">
      <c r="A1850" t="s">
        <v>620</v>
      </c>
      <c r="B1850" t="s">
        <v>136</v>
      </c>
      <c r="C1850" s="3">
        <f t="shared" si="50"/>
        <v>24.225638888888888</v>
      </c>
      <c r="D1850" s="3">
        <f t="shared" si="51"/>
        <v>120.56877777777777</v>
      </c>
      <c r="E1850" t="s">
        <v>15</v>
      </c>
      <c r="F1850" t="s">
        <v>19</v>
      </c>
      <c r="G1850" t="s">
        <v>214</v>
      </c>
      <c r="I1850" t="s">
        <v>12</v>
      </c>
      <c r="J1850" t="s">
        <v>12</v>
      </c>
      <c r="K1850" t="s">
        <v>12</v>
      </c>
      <c r="L1850" t="s">
        <v>624</v>
      </c>
      <c r="M1850" t="s">
        <v>868</v>
      </c>
      <c r="O1850">
        <v>31</v>
      </c>
      <c r="FN1850">
        <v>1</v>
      </c>
    </row>
    <row r="1851" spans="1:176" x14ac:dyDescent="0.25">
      <c r="A1851" t="s">
        <v>620</v>
      </c>
      <c r="B1851" t="s">
        <v>136</v>
      </c>
      <c r="C1851" s="3">
        <f t="shared" si="50"/>
        <v>24.225638888888888</v>
      </c>
      <c r="D1851" s="3">
        <f t="shared" si="51"/>
        <v>120.56877777777777</v>
      </c>
      <c r="E1851" t="s">
        <v>15</v>
      </c>
      <c r="F1851" t="s">
        <v>19</v>
      </c>
      <c r="G1851" t="s">
        <v>214</v>
      </c>
      <c r="I1851" t="s">
        <v>12</v>
      </c>
      <c r="J1851" t="s">
        <v>12</v>
      </c>
      <c r="K1851" t="s">
        <v>12</v>
      </c>
      <c r="L1851" t="s">
        <v>624</v>
      </c>
      <c r="M1851" t="s">
        <v>868</v>
      </c>
      <c r="O1851">
        <v>31</v>
      </c>
      <c r="FO1851">
        <v>1</v>
      </c>
    </row>
    <row r="1852" spans="1:176" x14ac:dyDescent="0.25">
      <c r="A1852" t="s">
        <v>620</v>
      </c>
      <c r="B1852" t="s">
        <v>136</v>
      </c>
      <c r="C1852" s="3">
        <f t="shared" si="50"/>
        <v>24.225638888888888</v>
      </c>
      <c r="D1852" s="3">
        <f t="shared" si="51"/>
        <v>120.56877777777777</v>
      </c>
      <c r="E1852" t="s">
        <v>15</v>
      </c>
      <c r="F1852" t="s">
        <v>19</v>
      </c>
      <c r="G1852" t="s">
        <v>214</v>
      </c>
      <c r="I1852" t="s">
        <v>12</v>
      </c>
      <c r="J1852" t="s">
        <v>12</v>
      </c>
      <c r="K1852" t="s">
        <v>12</v>
      </c>
      <c r="L1852" t="s">
        <v>624</v>
      </c>
      <c r="M1852" t="s">
        <v>868</v>
      </c>
      <c r="O1852">
        <v>47</v>
      </c>
      <c r="FP1852">
        <v>1</v>
      </c>
    </row>
    <row r="1853" spans="1:176" x14ac:dyDescent="0.25">
      <c r="A1853" t="s">
        <v>620</v>
      </c>
      <c r="B1853" t="s">
        <v>136</v>
      </c>
      <c r="C1853" s="3">
        <f t="shared" si="50"/>
        <v>24.225638888888888</v>
      </c>
      <c r="D1853" s="3">
        <f t="shared" si="51"/>
        <v>120.56877777777777</v>
      </c>
      <c r="E1853" t="s">
        <v>15</v>
      </c>
      <c r="F1853" t="s">
        <v>19</v>
      </c>
      <c r="G1853" t="s">
        <v>214</v>
      </c>
      <c r="I1853" t="s">
        <v>12</v>
      </c>
      <c r="J1853" t="s">
        <v>12</v>
      </c>
      <c r="K1853" t="s">
        <v>12</v>
      </c>
      <c r="L1853" t="s">
        <v>624</v>
      </c>
      <c r="M1853" t="s">
        <v>868</v>
      </c>
      <c r="O1853">
        <v>38</v>
      </c>
      <c r="FQ1853">
        <v>1</v>
      </c>
    </row>
    <row r="1854" spans="1:176" x14ac:dyDescent="0.25">
      <c r="A1854" t="s">
        <v>620</v>
      </c>
      <c r="B1854" t="s">
        <v>136</v>
      </c>
      <c r="C1854" s="3">
        <f t="shared" si="50"/>
        <v>24.225638888888888</v>
      </c>
      <c r="D1854" s="3">
        <f t="shared" si="51"/>
        <v>120.56877777777777</v>
      </c>
      <c r="E1854" t="s">
        <v>15</v>
      </c>
      <c r="F1854" t="s">
        <v>19</v>
      </c>
      <c r="G1854" t="s">
        <v>214</v>
      </c>
      <c r="I1854" t="s">
        <v>12</v>
      </c>
      <c r="J1854" t="s">
        <v>12</v>
      </c>
      <c r="K1854" t="s">
        <v>12</v>
      </c>
      <c r="L1854" t="s">
        <v>624</v>
      </c>
      <c r="M1854" t="s">
        <v>868</v>
      </c>
      <c r="O1854">
        <v>37</v>
      </c>
      <c r="FR1854">
        <v>1</v>
      </c>
    </row>
    <row r="1855" spans="1:176" x14ac:dyDescent="0.25">
      <c r="A1855" t="s">
        <v>620</v>
      </c>
      <c r="B1855" t="s">
        <v>136</v>
      </c>
      <c r="C1855" s="3">
        <f t="shared" si="50"/>
        <v>24.225638888888888</v>
      </c>
      <c r="D1855" s="3">
        <f t="shared" si="51"/>
        <v>120.56877777777777</v>
      </c>
      <c r="E1855" t="s">
        <v>15</v>
      </c>
      <c r="F1855" t="s">
        <v>19</v>
      </c>
      <c r="G1855" t="s">
        <v>214</v>
      </c>
      <c r="I1855" t="s">
        <v>12</v>
      </c>
      <c r="J1855" t="s">
        <v>12</v>
      </c>
      <c r="K1855" t="s">
        <v>12</v>
      </c>
      <c r="L1855" t="s">
        <v>624</v>
      </c>
      <c r="M1855" t="s">
        <v>868</v>
      </c>
      <c r="O1855">
        <v>52</v>
      </c>
      <c r="FS1855">
        <v>1</v>
      </c>
    </row>
    <row r="1856" spans="1:176" x14ac:dyDescent="0.25">
      <c r="A1856" t="s">
        <v>620</v>
      </c>
      <c r="B1856" t="s">
        <v>136</v>
      </c>
      <c r="C1856" s="3">
        <f t="shared" si="50"/>
        <v>24.225638888888888</v>
      </c>
      <c r="D1856" s="3">
        <f t="shared" si="51"/>
        <v>120.56877777777777</v>
      </c>
      <c r="E1856" t="s">
        <v>15</v>
      </c>
      <c r="F1856" t="s">
        <v>19</v>
      </c>
      <c r="G1856" t="s">
        <v>214</v>
      </c>
      <c r="I1856" t="s">
        <v>12</v>
      </c>
      <c r="J1856" t="s">
        <v>12</v>
      </c>
      <c r="K1856" t="s">
        <v>12</v>
      </c>
      <c r="L1856" t="s">
        <v>624</v>
      </c>
      <c r="M1856" t="s">
        <v>868</v>
      </c>
      <c r="O1856">
        <v>39</v>
      </c>
      <c r="FT1856">
        <v>1</v>
      </c>
    </row>
    <row r="1857" spans="1:220" x14ac:dyDescent="0.25">
      <c r="A1857" t="s">
        <v>620</v>
      </c>
      <c r="B1857" t="s">
        <v>136</v>
      </c>
      <c r="C1857" s="3">
        <f t="shared" si="50"/>
        <v>24.225638888888888</v>
      </c>
      <c r="D1857" s="3">
        <f t="shared" si="51"/>
        <v>120.56877777777777</v>
      </c>
      <c r="E1857" t="s">
        <v>15</v>
      </c>
      <c r="F1857" t="s">
        <v>19</v>
      </c>
      <c r="G1857" t="s">
        <v>214</v>
      </c>
      <c r="I1857" t="s">
        <v>12</v>
      </c>
      <c r="J1857" t="s">
        <v>12</v>
      </c>
      <c r="K1857" t="s">
        <v>12</v>
      </c>
      <c r="L1857" t="s">
        <v>624</v>
      </c>
      <c r="M1857" t="s">
        <v>868</v>
      </c>
      <c r="O1857">
        <v>28</v>
      </c>
      <c r="FU1857">
        <v>1</v>
      </c>
    </row>
    <row r="1858" spans="1:220" x14ac:dyDescent="0.25">
      <c r="A1858" t="s">
        <v>620</v>
      </c>
      <c r="B1858" t="s">
        <v>136</v>
      </c>
      <c r="C1858" s="3">
        <f t="shared" si="50"/>
        <v>24.225638888888888</v>
      </c>
      <c r="D1858" s="3">
        <f t="shared" si="51"/>
        <v>120.56877777777777</v>
      </c>
      <c r="E1858" t="s">
        <v>15</v>
      </c>
      <c r="F1858" t="s">
        <v>19</v>
      </c>
      <c r="G1858" t="s">
        <v>214</v>
      </c>
      <c r="I1858" t="s">
        <v>12</v>
      </c>
      <c r="J1858" t="s">
        <v>12</v>
      </c>
      <c r="K1858" t="s">
        <v>12</v>
      </c>
      <c r="L1858" t="s">
        <v>624</v>
      </c>
      <c r="M1858" t="s">
        <v>868</v>
      </c>
      <c r="O1858">
        <v>16</v>
      </c>
      <c r="FV1858">
        <v>1</v>
      </c>
    </row>
    <row r="1859" spans="1:220" x14ac:dyDescent="0.25">
      <c r="A1859" t="s">
        <v>620</v>
      </c>
      <c r="B1859" t="s">
        <v>136</v>
      </c>
      <c r="C1859" s="3">
        <f t="shared" si="50"/>
        <v>24.225638888888888</v>
      </c>
      <c r="D1859" s="3">
        <f t="shared" si="51"/>
        <v>120.56877777777777</v>
      </c>
      <c r="E1859" t="s">
        <v>15</v>
      </c>
      <c r="F1859" t="s">
        <v>19</v>
      </c>
      <c r="G1859" t="s">
        <v>214</v>
      </c>
      <c r="I1859" t="s">
        <v>12</v>
      </c>
      <c r="J1859" t="s">
        <v>12</v>
      </c>
      <c r="K1859" t="s">
        <v>12</v>
      </c>
      <c r="L1859" t="s">
        <v>624</v>
      </c>
      <c r="M1859" t="s">
        <v>868</v>
      </c>
      <c r="O1859">
        <v>15</v>
      </c>
      <c r="FW1859">
        <v>1</v>
      </c>
    </row>
    <row r="1860" spans="1:220" x14ac:dyDescent="0.25">
      <c r="A1860" t="s">
        <v>620</v>
      </c>
      <c r="B1860" t="s">
        <v>136</v>
      </c>
      <c r="C1860" s="3">
        <f t="shared" si="50"/>
        <v>24.225638888888888</v>
      </c>
      <c r="D1860" s="3">
        <f t="shared" si="51"/>
        <v>120.56877777777777</v>
      </c>
      <c r="E1860" t="s">
        <v>15</v>
      </c>
      <c r="F1860" t="s">
        <v>19</v>
      </c>
      <c r="G1860" t="s">
        <v>214</v>
      </c>
      <c r="I1860" t="s">
        <v>12</v>
      </c>
      <c r="J1860" t="s">
        <v>12</v>
      </c>
      <c r="K1860" t="s">
        <v>12</v>
      </c>
      <c r="L1860" t="s">
        <v>624</v>
      </c>
      <c r="M1860" t="s">
        <v>868</v>
      </c>
      <c r="O1860">
        <v>21</v>
      </c>
      <c r="FX1860">
        <v>1</v>
      </c>
    </row>
    <row r="1861" spans="1:220" x14ac:dyDescent="0.25">
      <c r="A1861" t="s">
        <v>620</v>
      </c>
      <c r="B1861" t="s">
        <v>136</v>
      </c>
      <c r="C1861" s="3">
        <f t="shared" si="50"/>
        <v>24.225638888888888</v>
      </c>
      <c r="D1861" s="3">
        <f t="shared" si="51"/>
        <v>120.56877777777777</v>
      </c>
      <c r="E1861" t="s">
        <v>15</v>
      </c>
      <c r="F1861" t="s">
        <v>19</v>
      </c>
      <c r="G1861" t="s">
        <v>214</v>
      </c>
      <c r="I1861" t="s">
        <v>12</v>
      </c>
      <c r="J1861" t="s">
        <v>12</v>
      </c>
      <c r="K1861" t="s">
        <v>12</v>
      </c>
      <c r="L1861" t="s">
        <v>624</v>
      </c>
      <c r="M1861" t="s">
        <v>868</v>
      </c>
      <c r="O1861">
        <v>32</v>
      </c>
      <c r="FY1861">
        <v>1</v>
      </c>
    </row>
    <row r="1862" spans="1:220" x14ac:dyDescent="0.25">
      <c r="A1862" t="s">
        <v>620</v>
      </c>
      <c r="B1862" t="s">
        <v>136</v>
      </c>
      <c r="C1862" s="3">
        <f t="shared" si="50"/>
        <v>24.225638888888888</v>
      </c>
      <c r="D1862" s="3">
        <f t="shared" si="51"/>
        <v>120.56877777777777</v>
      </c>
      <c r="E1862" t="s">
        <v>15</v>
      </c>
      <c r="F1862" t="s">
        <v>19</v>
      </c>
      <c r="G1862" t="s">
        <v>214</v>
      </c>
      <c r="I1862" t="s">
        <v>12</v>
      </c>
      <c r="J1862" t="s">
        <v>12</v>
      </c>
      <c r="K1862" t="s">
        <v>12</v>
      </c>
      <c r="L1862" t="s">
        <v>624</v>
      </c>
      <c r="M1862" t="s">
        <v>868</v>
      </c>
      <c r="O1862">
        <v>35</v>
      </c>
      <c r="FZ1862">
        <v>1</v>
      </c>
    </row>
    <row r="1863" spans="1:220" x14ac:dyDescent="0.25">
      <c r="A1863" t="s">
        <v>620</v>
      </c>
      <c r="B1863" t="s">
        <v>136</v>
      </c>
      <c r="C1863" s="3">
        <f t="shared" si="50"/>
        <v>24.225638888888888</v>
      </c>
      <c r="D1863" s="3">
        <f t="shared" si="51"/>
        <v>120.56877777777777</v>
      </c>
      <c r="E1863" t="s">
        <v>15</v>
      </c>
      <c r="F1863" t="s">
        <v>19</v>
      </c>
      <c r="G1863" t="s">
        <v>214</v>
      </c>
      <c r="I1863" t="s">
        <v>12</v>
      </c>
      <c r="J1863" t="s">
        <v>12</v>
      </c>
      <c r="K1863" t="s">
        <v>12</v>
      </c>
      <c r="L1863" t="s">
        <v>624</v>
      </c>
      <c r="M1863" t="s">
        <v>868</v>
      </c>
      <c r="O1863">
        <v>27</v>
      </c>
      <c r="GA1863">
        <v>1</v>
      </c>
    </row>
    <row r="1864" spans="1:220" x14ac:dyDescent="0.25">
      <c r="A1864" t="s">
        <v>620</v>
      </c>
      <c r="B1864" t="s">
        <v>136</v>
      </c>
      <c r="C1864" s="3">
        <f t="shared" si="50"/>
        <v>24.225638888888888</v>
      </c>
      <c r="D1864" s="3">
        <f t="shared" si="51"/>
        <v>120.56877777777777</v>
      </c>
      <c r="E1864" t="s">
        <v>15</v>
      </c>
      <c r="F1864" t="s">
        <v>19</v>
      </c>
      <c r="G1864" t="s">
        <v>214</v>
      </c>
      <c r="I1864" t="s">
        <v>12</v>
      </c>
      <c r="J1864" t="s">
        <v>12</v>
      </c>
      <c r="K1864" t="s">
        <v>12</v>
      </c>
      <c r="L1864" t="s">
        <v>624</v>
      </c>
      <c r="M1864" t="s">
        <v>868</v>
      </c>
      <c r="O1864">
        <v>35</v>
      </c>
      <c r="GB1864">
        <v>1</v>
      </c>
    </row>
    <row r="1865" spans="1:220" x14ac:dyDescent="0.25">
      <c r="A1865" t="s">
        <v>461</v>
      </c>
      <c r="B1865" t="s">
        <v>136</v>
      </c>
      <c r="C1865" s="3">
        <v>23.82</v>
      </c>
      <c r="D1865" s="3">
        <v>120.81</v>
      </c>
      <c r="E1865" t="s">
        <v>12</v>
      </c>
      <c r="F1865" t="s">
        <v>20</v>
      </c>
      <c r="G1865" t="s">
        <v>106</v>
      </c>
      <c r="H1865">
        <v>40</v>
      </c>
      <c r="I1865" t="s">
        <v>15</v>
      </c>
      <c r="J1865" t="s">
        <v>12</v>
      </c>
      <c r="K1865" t="s">
        <v>12</v>
      </c>
      <c r="L1865" t="s">
        <v>463</v>
      </c>
      <c r="M1865" t="s">
        <v>970</v>
      </c>
      <c r="O1865">
        <v>88</v>
      </c>
      <c r="P1865">
        <v>51</v>
      </c>
      <c r="BX1865">
        <v>0.25</v>
      </c>
      <c r="CA1865">
        <v>0.25</v>
      </c>
    </row>
    <row r="1866" spans="1:220" x14ac:dyDescent="0.25">
      <c r="A1866" t="s">
        <v>457</v>
      </c>
      <c r="B1866" t="s">
        <v>136</v>
      </c>
      <c r="C1866" s="3">
        <v>24.21</v>
      </c>
      <c r="D1866" s="3">
        <v>120.62</v>
      </c>
      <c r="E1866" t="s">
        <v>12</v>
      </c>
      <c r="F1866" t="s">
        <v>22</v>
      </c>
      <c r="G1866" t="s">
        <v>726</v>
      </c>
      <c r="I1866" t="s">
        <v>12</v>
      </c>
      <c r="J1866" t="s">
        <v>12</v>
      </c>
      <c r="K1866" t="s">
        <v>15</v>
      </c>
      <c r="L1866" t="s">
        <v>766</v>
      </c>
      <c r="M1866" t="s">
        <v>825</v>
      </c>
      <c r="O1866">
        <v>75.31</v>
      </c>
      <c r="FQ1866">
        <v>1</v>
      </c>
      <c r="FR1866">
        <v>1</v>
      </c>
      <c r="FS1866">
        <v>1</v>
      </c>
      <c r="FT1866">
        <v>1</v>
      </c>
      <c r="FU1866">
        <v>1</v>
      </c>
      <c r="FV1866">
        <v>1</v>
      </c>
      <c r="FW1866">
        <v>1</v>
      </c>
      <c r="FX1866">
        <v>1</v>
      </c>
      <c r="FY1866">
        <v>1</v>
      </c>
      <c r="FZ1866">
        <v>1</v>
      </c>
      <c r="GA1866">
        <v>1</v>
      </c>
      <c r="GB1866">
        <v>1</v>
      </c>
      <c r="GC1866">
        <v>1</v>
      </c>
      <c r="GD1866">
        <v>1</v>
      </c>
      <c r="GE1866">
        <v>1</v>
      </c>
      <c r="GF1866">
        <v>1</v>
      </c>
      <c r="GG1866">
        <v>1</v>
      </c>
      <c r="GH1866">
        <v>1</v>
      </c>
      <c r="GI1866">
        <v>1</v>
      </c>
      <c r="GJ1866">
        <v>1</v>
      </c>
      <c r="GK1866">
        <v>1</v>
      </c>
      <c r="GL1866">
        <v>1</v>
      </c>
      <c r="GM1866">
        <v>1</v>
      </c>
      <c r="GN1866">
        <v>1</v>
      </c>
      <c r="GO1866">
        <v>1</v>
      </c>
      <c r="GP1866">
        <v>1</v>
      </c>
      <c r="GQ1866">
        <v>1</v>
      </c>
      <c r="GR1866">
        <v>1</v>
      </c>
      <c r="GS1866">
        <v>1</v>
      </c>
      <c r="GT1866">
        <v>1</v>
      </c>
      <c r="GU1866">
        <v>1</v>
      </c>
      <c r="GV1866">
        <v>1</v>
      </c>
      <c r="GW1866">
        <v>1</v>
      </c>
      <c r="GX1866">
        <v>1</v>
      </c>
      <c r="GY1866">
        <v>1</v>
      </c>
      <c r="GZ1866">
        <v>1</v>
      </c>
      <c r="HA1866">
        <v>1</v>
      </c>
      <c r="HB1866">
        <v>1</v>
      </c>
      <c r="HC1866">
        <v>1</v>
      </c>
      <c r="HD1866">
        <v>1</v>
      </c>
      <c r="HE1866">
        <v>1</v>
      </c>
      <c r="HF1866">
        <v>1</v>
      </c>
      <c r="HG1866">
        <v>1</v>
      </c>
      <c r="HH1866">
        <v>1</v>
      </c>
      <c r="HI1866">
        <v>1</v>
      </c>
      <c r="HJ1866">
        <v>1</v>
      </c>
      <c r="HK1866">
        <v>1</v>
      </c>
      <c r="HL1866">
        <v>1</v>
      </c>
    </row>
    <row r="1867" spans="1:220" x14ac:dyDescent="0.25">
      <c r="A1867" t="s">
        <v>457</v>
      </c>
      <c r="B1867" t="s">
        <v>136</v>
      </c>
      <c r="C1867" s="3">
        <v>24.23</v>
      </c>
      <c r="D1867" s="3">
        <v>120.94</v>
      </c>
      <c r="E1867" t="s">
        <v>12</v>
      </c>
      <c r="F1867" t="s">
        <v>77</v>
      </c>
      <c r="G1867" t="s">
        <v>95</v>
      </c>
      <c r="I1867" t="s">
        <v>12</v>
      </c>
      <c r="J1867" t="s">
        <v>12</v>
      </c>
      <c r="K1867" t="s">
        <v>12</v>
      </c>
      <c r="L1867" t="s">
        <v>774</v>
      </c>
      <c r="M1867" t="s">
        <v>829</v>
      </c>
      <c r="O1867">
        <v>39.979999999999997</v>
      </c>
      <c r="P1867" t="s">
        <v>773</v>
      </c>
      <c r="AL1867">
        <v>1</v>
      </c>
      <c r="AM1867">
        <v>1</v>
      </c>
      <c r="AN1867">
        <v>1</v>
      </c>
      <c r="AO1867">
        <v>1</v>
      </c>
      <c r="AP1867">
        <v>1</v>
      </c>
      <c r="AQ1867">
        <v>1</v>
      </c>
      <c r="AR1867">
        <v>1</v>
      </c>
      <c r="AS1867">
        <v>1</v>
      </c>
      <c r="AT1867">
        <v>1</v>
      </c>
    </row>
    <row r="1868" spans="1:220" x14ac:dyDescent="0.25">
      <c r="A1868" t="s">
        <v>457</v>
      </c>
      <c r="B1868" t="s">
        <v>136</v>
      </c>
      <c r="C1868" s="3">
        <v>24.23</v>
      </c>
      <c r="D1868" s="3">
        <v>120.94</v>
      </c>
      <c r="E1868" t="s">
        <v>12</v>
      </c>
      <c r="F1868" t="s">
        <v>77</v>
      </c>
      <c r="G1868" t="s">
        <v>734</v>
      </c>
      <c r="I1868" t="s">
        <v>12</v>
      </c>
      <c r="J1868" t="s">
        <v>15</v>
      </c>
      <c r="K1868" t="s">
        <v>12</v>
      </c>
      <c r="L1868" t="s">
        <v>770</v>
      </c>
      <c r="M1868" t="s">
        <v>831</v>
      </c>
      <c r="O1868">
        <v>37.1</v>
      </c>
      <c r="P1868">
        <v>18.3</v>
      </c>
      <c r="DF1868">
        <v>1</v>
      </c>
    </row>
    <row r="1869" spans="1:220" x14ac:dyDescent="0.25">
      <c r="A1869" t="s">
        <v>457</v>
      </c>
      <c r="B1869" t="s">
        <v>136</v>
      </c>
      <c r="C1869" s="3">
        <v>24.23</v>
      </c>
      <c r="D1869" s="3">
        <v>120.94</v>
      </c>
      <c r="E1869" t="s">
        <v>12</v>
      </c>
      <c r="F1869" t="s">
        <v>77</v>
      </c>
      <c r="G1869" t="s">
        <v>97</v>
      </c>
      <c r="I1869" t="s">
        <v>15</v>
      </c>
      <c r="J1869" t="s">
        <v>12</v>
      </c>
      <c r="K1869" t="s">
        <v>12</v>
      </c>
      <c r="L1869" t="s">
        <v>776</v>
      </c>
      <c r="M1869" t="s">
        <v>834</v>
      </c>
      <c r="O1869">
        <v>45.3</v>
      </c>
      <c r="P1869">
        <v>3</v>
      </c>
      <c r="DI1869">
        <v>1</v>
      </c>
      <c r="DJ1869">
        <v>1</v>
      </c>
      <c r="DK1869">
        <v>1</v>
      </c>
      <c r="DL1869">
        <v>1</v>
      </c>
      <c r="DM1869">
        <v>1</v>
      </c>
      <c r="DN1869">
        <v>1</v>
      </c>
      <c r="DO1869">
        <v>1</v>
      </c>
      <c r="DP1869">
        <v>1</v>
      </c>
      <c r="DQ1869">
        <v>1</v>
      </c>
      <c r="DR1869">
        <v>1</v>
      </c>
      <c r="DS1869">
        <v>1</v>
      </c>
      <c r="DT1869">
        <v>1</v>
      </c>
    </row>
    <row r="1870" spans="1:220" x14ac:dyDescent="0.25">
      <c r="A1870" t="s">
        <v>457</v>
      </c>
      <c r="B1870" t="s">
        <v>136</v>
      </c>
      <c r="C1870" s="3">
        <v>24.23</v>
      </c>
      <c r="D1870" s="3">
        <v>120.94</v>
      </c>
      <c r="E1870" t="s">
        <v>12</v>
      </c>
      <c r="F1870" t="s">
        <v>77</v>
      </c>
      <c r="G1870" t="s">
        <v>97</v>
      </c>
      <c r="I1870" t="s">
        <v>15</v>
      </c>
      <c r="J1870" t="s">
        <v>12</v>
      </c>
      <c r="K1870" t="s">
        <v>12</v>
      </c>
      <c r="L1870" t="s">
        <v>776</v>
      </c>
      <c r="M1870" t="s">
        <v>834</v>
      </c>
      <c r="O1870">
        <v>58.6</v>
      </c>
      <c r="P1870">
        <v>5.6</v>
      </c>
      <c r="DU1870">
        <v>1</v>
      </c>
      <c r="DV1870">
        <v>1</v>
      </c>
      <c r="DW1870">
        <v>1</v>
      </c>
      <c r="DX1870">
        <v>1</v>
      </c>
      <c r="DY1870">
        <v>1</v>
      </c>
      <c r="DZ1870">
        <v>1</v>
      </c>
      <c r="EA1870">
        <v>1</v>
      </c>
      <c r="EB1870">
        <v>1</v>
      </c>
      <c r="EC1870">
        <v>1</v>
      </c>
      <c r="ED1870">
        <v>1</v>
      </c>
      <c r="EE1870">
        <v>1</v>
      </c>
      <c r="EF1870">
        <v>1</v>
      </c>
    </row>
    <row r="1871" spans="1:220" x14ac:dyDescent="0.25">
      <c r="A1871" t="s">
        <v>457</v>
      </c>
      <c r="B1871" t="s">
        <v>136</v>
      </c>
      <c r="C1871" s="3">
        <v>24.23</v>
      </c>
      <c r="D1871" s="3">
        <v>120.94</v>
      </c>
      <c r="E1871" t="s">
        <v>12</v>
      </c>
      <c r="F1871" t="s">
        <v>77</v>
      </c>
      <c r="G1871" t="s">
        <v>97</v>
      </c>
      <c r="I1871" t="s">
        <v>15</v>
      </c>
      <c r="J1871" t="s">
        <v>12</v>
      </c>
      <c r="K1871" t="s">
        <v>12</v>
      </c>
      <c r="L1871" t="s">
        <v>776</v>
      </c>
      <c r="M1871" t="s">
        <v>834</v>
      </c>
      <c r="O1871">
        <v>47.2</v>
      </c>
      <c r="P1871">
        <v>4.3</v>
      </c>
      <c r="EG1871">
        <v>1</v>
      </c>
      <c r="EH1871">
        <v>1</v>
      </c>
      <c r="EI1871">
        <v>1</v>
      </c>
      <c r="EJ1871">
        <v>1</v>
      </c>
      <c r="EK1871">
        <v>1</v>
      </c>
      <c r="EL1871">
        <v>1</v>
      </c>
      <c r="EM1871">
        <v>1</v>
      </c>
      <c r="EN1871">
        <v>1</v>
      </c>
      <c r="EO1871">
        <v>1</v>
      </c>
      <c r="EP1871">
        <v>1</v>
      </c>
      <c r="EQ1871">
        <v>1</v>
      </c>
      <c r="ER1871">
        <v>1</v>
      </c>
    </row>
    <row r="1872" spans="1:220" x14ac:dyDescent="0.25">
      <c r="A1872" t="s">
        <v>457</v>
      </c>
      <c r="B1872" t="s">
        <v>136</v>
      </c>
      <c r="C1872" s="3">
        <v>24.23</v>
      </c>
      <c r="D1872" s="3">
        <v>120.94</v>
      </c>
      <c r="E1872" t="s">
        <v>12</v>
      </c>
      <c r="F1872" t="s">
        <v>77</v>
      </c>
      <c r="G1872" t="s">
        <v>97</v>
      </c>
      <c r="I1872" t="s">
        <v>15</v>
      </c>
      <c r="J1872" t="s">
        <v>12</v>
      </c>
      <c r="K1872" t="s">
        <v>12</v>
      </c>
      <c r="L1872" t="s">
        <v>776</v>
      </c>
      <c r="M1872" t="s">
        <v>834</v>
      </c>
      <c r="O1872">
        <v>44.3</v>
      </c>
      <c r="P1872">
        <v>3.9</v>
      </c>
      <c r="ES1872">
        <v>1</v>
      </c>
      <c r="ET1872">
        <v>1</v>
      </c>
      <c r="EU1872">
        <v>1</v>
      </c>
      <c r="EV1872">
        <v>1</v>
      </c>
      <c r="EW1872">
        <v>1</v>
      </c>
      <c r="EX1872">
        <v>1</v>
      </c>
      <c r="EY1872">
        <v>1</v>
      </c>
      <c r="EZ1872">
        <v>1</v>
      </c>
      <c r="FA1872">
        <v>1</v>
      </c>
      <c r="FB1872">
        <v>1</v>
      </c>
      <c r="FC1872">
        <v>1</v>
      </c>
      <c r="FD1872">
        <v>1</v>
      </c>
    </row>
    <row r="1873" spans="1:184" x14ac:dyDescent="0.25">
      <c r="A1873" t="s">
        <v>457</v>
      </c>
      <c r="B1873" t="s">
        <v>136</v>
      </c>
      <c r="C1873" s="3">
        <v>24.23</v>
      </c>
      <c r="D1873" s="3">
        <v>120.94</v>
      </c>
      <c r="E1873" t="s">
        <v>12</v>
      </c>
      <c r="F1873" t="s">
        <v>77</v>
      </c>
      <c r="G1873" t="s">
        <v>97</v>
      </c>
      <c r="I1873" t="s">
        <v>15</v>
      </c>
      <c r="J1873" t="s">
        <v>12</v>
      </c>
      <c r="K1873" t="s">
        <v>12</v>
      </c>
      <c r="L1873" t="s">
        <v>776</v>
      </c>
      <c r="M1873" t="s">
        <v>834</v>
      </c>
      <c r="O1873">
        <v>43.8</v>
      </c>
      <c r="P1873">
        <v>4</v>
      </c>
      <c r="FE1873">
        <v>1</v>
      </c>
      <c r="FF1873">
        <v>1</v>
      </c>
      <c r="FG1873">
        <v>1</v>
      </c>
      <c r="FH1873">
        <v>1</v>
      </c>
      <c r="FI1873">
        <v>1</v>
      </c>
      <c r="FJ1873">
        <v>1</v>
      </c>
      <c r="FK1873">
        <v>1</v>
      </c>
      <c r="FL1873">
        <v>1</v>
      </c>
      <c r="FM1873">
        <v>1</v>
      </c>
      <c r="FN1873">
        <v>1</v>
      </c>
      <c r="FO1873">
        <v>1</v>
      </c>
      <c r="FP1873">
        <v>1</v>
      </c>
    </row>
    <row r="1874" spans="1:184" x14ac:dyDescent="0.25">
      <c r="A1874" t="s">
        <v>457</v>
      </c>
      <c r="B1874" t="s">
        <v>136</v>
      </c>
      <c r="C1874" s="3">
        <v>24.25</v>
      </c>
      <c r="D1874" s="3">
        <v>120.6</v>
      </c>
      <c r="E1874" t="s">
        <v>12</v>
      </c>
      <c r="F1874" t="s">
        <v>20</v>
      </c>
      <c r="G1874" t="s">
        <v>106</v>
      </c>
      <c r="I1874" t="s">
        <v>12</v>
      </c>
      <c r="J1874" t="s">
        <v>12</v>
      </c>
      <c r="K1874" t="s">
        <v>12</v>
      </c>
      <c r="L1874" t="s">
        <v>617</v>
      </c>
      <c r="M1874" t="s">
        <v>869</v>
      </c>
      <c r="O1874">
        <v>24.4</v>
      </c>
      <c r="P1874">
        <v>7.8</v>
      </c>
      <c r="EO1874">
        <v>1</v>
      </c>
      <c r="EP1874">
        <v>1</v>
      </c>
      <c r="EQ1874">
        <v>1</v>
      </c>
      <c r="ER1874">
        <v>1</v>
      </c>
    </row>
    <row r="1875" spans="1:184" x14ac:dyDescent="0.25">
      <c r="A1875" t="s">
        <v>457</v>
      </c>
      <c r="B1875" t="s">
        <v>136</v>
      </c>
      <c r="C1875" s="3">
        <v>24.21</v>
      </c>
      <c r="D1875" s="3">
        <v>120.58</v>
      </c>
      <c r="E1875" t="s">
        <v>12</v>
      </c>
      <c r="F1875" t="s">
        <v>20</v>
      </c>
      <c r="G1875" t="s">
        <v>97</v>
      </c>
      <c r="I1875" t="s">
        <v>12</v>
      </c>
      <c r="J1875" t="s">
        <v>12</v>
      </c>
      <c r="K1875" t="s">
        <v>12</v>
      </c>
      <c r="L1875" t="s">
        <v>615</v>
      </c>
      <c r="M1875" t="s">
        <v>870</v>
      </c>
      <c r="O1875">
        <f>AVERAGE(21.8,29.5)</f>
        <v>25.65</v>
      </c>
      <c r="P1875">
        <f>AVERAGE(14.1,18.8)</f>
        <v>16.45</v>
      </c>
      <c r="BF1875">
        <v>1</v>
      </c>
      <c r="BG1875">
        <v>1</v>
      </c>
      <c r="BH1875">
        <v>1</v>
      </c>
    </row>
    <row r="1876" spans="1:184" x14ac:dyDescent="0.25">
      <c r="A1876" t="s">
        <v>457</v>
      </c>
      <c r="B1876" t="s">
        <v>136</v>
      </c>
      <c r="C1876" s="3">
        <v>24.18</v>
      </c>
      <c r="D1876" s="3">
        <v>120.6</v>
      </c>
      <c r="E1876" t="s">
        <v>12</v>
      </c>
      <c r="F1876" t="s">
        <v>77</v>
      </c>
      <c r="G1876" t="s">
        <v>97</v>
      </c>
      <c r="I1876" t="s">
        <v>12</v>
      </c>
      <c r="J1876" t="s">
        <v>12</v>
      </c>
      <c r="K1876" t="s">
        <v>12</v>
      </c>
      <c r="L1876" t="s">
        <v>615</v>
      </c>
      <c r="M1876" t="s">
        <v>870</v>
      </c>
      <c r="O1876">
        <f>AVERAGE(30.4,21.4)</f>
        <v>25.9</v>
      </c>
      <c r="P1876">
        <f>AVERAGE(12.8,14)</f>
        <v>13.4</v>
      </c>
      <c r="BF1876">
        <v>1</v>
      </c>
      <c r="BG1876">
        <v>1</v>
      </c>
      <c r="BH1876">
        <v>1</v>
      </c>
    </row>
    <row r="1877" spans="1:184" x14ac:dyDescent="0.25">
      <c r="A1877" t="s">
        <v>457</v>
      </c>
      <c r="B1877" t="s">
        <v>136</v>
      </c>
      <c r="C1877" s="3">
        <v>24.21</v>
      </c>
      <c r="D1877" s="3">
        <v>120.58</v>
      </c>
      <c r="E1877" t="s">
        <v>12</v>
      </c>
      <c r="F1877" t="s">
        <v>20</v>
      </c>
      <c r="G1877" t="s">
        <v>97</v>
      </c>
      <c r="I1877" t="s">
        <v>12</v>
      </c>
      <c r="J1877" t="s">
        <v>12</v>
      </c>
      <c r="K1877" t="s">
        <v>12</v>
      </c>
      <c r="L1877" t="s">
        <v>616</v>
      </c>
      <c r="M1877" t="s">
        <v>871</v>
      </c>
      <c r="O1877">
        <f>AVERAGE(34,26)</f>
        <v>30</v>
      </c>
      <c r="BD1877">
        <v>0.5</v>
      </c>
      <c r="BE1877">
        <v>0.5</v>
      </c>
    </row>
    <row r="1878" spans="1:184" x14ac:dyDescent="0.25">
      <c r="A1878" t="s">
        <v>457</v>
      </c>
      <c r="B1878" t="s">
        <v>136</v>
      </c>
      <c r="C1878" s="3">
        <f>22+5/60+58.6/3600</f>
        <v>22.099611111111109</v>
      </c>
      <c r="D1878" s="3">
        <f>120+40/60+39.68/3600</f>
        <v>120.67768888888889</v>
      </c>
      <c r="E1878" t="s">
        <v>15</v>
      </c>
      <c r="F1878" t="s">
        <v>19</v>
      </c>
      <c r="G1878" t="s">
        <v>76</v>
      </c>
      <c r="H1878">
        <v>45</v>
      </c>
      <c r="I1878" t="s">
        <v>12</v>
      </c>
      <c r="J1878" t="s">
        <v>12</v>
      </c>
      <c r="K1878" t="s">
        <v>12</v>
      </c>
      <c r="L1878" t="s">
        <v>500</v>
      </c>
      <c r="M1878" t="s">
        <v>948</v>
      </c>
      <c r="O1878">
        <f>(471*33.4+557*55.3+28*87.8)/(SUM(471,557,28))</f>
        <v>46.393844696969701</v>
      </c>
      <c r="DU1878">
        <v>1</v>
      </c>
      <c r="DV1878">
        <v>1</v>
      </c>
      <c r="DW1878">
        <v>1</v>
      </c>
      <c r="DX1878">
        <v>1</v>
      </c>
      <c r="DY1878">
        <v>1</v>
      </c>
      <c r="DZ1878">
        <v>1</v>
      </c>
      <c r="EA1878">
        <v>1</v>
      </c>
      <c r="EB1878">
        <v>1</v>
      </c>
      <c r="EC1878">
        <v>1</v>
      </c>
      <c r="ED1878">
        <v>1</v>
      </c>
      <c r="EE1878">
        <v>1</v>
      </c>
      <c r="EF1878">
        <v>1</v>
      </c>
      <c r="EG1878">
        <v>1</v>
      </c>
      <c r="EH1878">
        <v>1</v>
      </c>
      <c r="EI1878">
        <v>1</v>
      </c>
      <c r="EJ1878">
        <v>1</v>
      </c>
      <c r="EK1878">
        <v>1</v>
      </c>
      <c r="EL1878">
        <v>1</v>
      </c>
      <c r="EM1878">
        <v>1</v>
      </c>
      <c r="EN1878">
        <v>1</v>
      </c>
      <c r="EO1878">
        <v>1</v>
      </c>
      <c r="EP1878">
        <v>1</v>
      </c>
      <c r="EQ1878">
        <v>1</v>
      </c>
      <c r="ER1878">
        <v>1</v>
      </c>
      <c r="ES1878">
        <v>1</v>
      </c>
      <c r="ET1878">
        <v>1</v>
      </c>
      <c r="EU1878">
        <v>1</v>
      </c>
      <c r="EV1878">
        <v>1</v>
      </c>
      <c r="EW1878">
        <v>1</v>
      </c>
      <c r="EX1878">
        <v>1</v>
      </c>
      <c r="EY1878">
        <v>1</v>
      </c>
      <c r="EZ1878">
        <v>1</v>
      </c>
      <c r="FA1878">
        <v>1</v>
      </c>
      <c r="FB1878">
        <v>1</v>
      </c>
      <c r="FC1878">
        <v>1</v>
      </c>
      <c r="FD1878">
        <v>1</v>
      </c>
      <c r="FE1878">
        <v>1</v>
      </c>
      <c r="FF1878">
        <v>1</v>
      </c>
      <c r="FG1878">
        <v>1</v>
      </c>
      <c r="FH1878">
        <v>1</v>
      </c>
      <c r="FI1878">
        <v>1</v>
      </c>
      <c r="FJ1878">
        <v>1</v>
      </c>
      <c r="FK1878">
        <v>1</v>
      </c>
      <c r="FL1878">
        <v>1</v>
      </c>
      <c r="FM1878">
        <v>1</v>
      </c>
      <c r="FN1878">
        <v>1</v>
      </c>
      <c r="FO1878">
        <v>1</v>
      </c>
      <c r="FP1878">
        <v>1</v>
      </c>
      <c r="FQ1878">
        <v>1</v>
      </c>
      <c r="FR1878">
        <v>1</v>
      </c>
      <c r="FS1878">
        <v>1</v>
      </c>
      <c r="FT1878">
        <v>1</v>
      </c>
      <c r="FU1878">
        <v>1</v>
      </c>
      <c r="FV1878">
        <v>1</v>
      </c>
      <c r="FW1878">
        <v>1</v>
      </c>
      <c r="FX1878">
        <v>1</v>
      </c>
      <c r="FY1878">
        <v>1</v>
      </c>
      <c r="FZ1878">
        <v>1</v>
      </c>
      <c r="GA1878">
        <v>1</v>
      </c>
      <c r="GB1878">
        <v>1</v>
      </c>
    </row>
    <row r="1879" spans="1:184" x14ac:dyDescent="0.25">
      <c r="A1879" t="s">
        <v>457</v>
      </c>
      <c r="B1879" t="s">
        <v>136</v>
      </c>
      <c r="C1879" s="3">
        <f>24+13/60+32.26/3600</f>
        <v>24.225627777777778</v>
      </c>
      <c r="D1879" s="3">
        <f>120+34/60+7.66/3600</f>
        <v>120.56879444444444</v>
      </c>
      <c r="E1879" t="s">
        <v>15</v>
      </c>
      <c r="F1879" t="s">
        <v>19</v>
      </c>
      <c r="G1879" t="s">
        <v>76</v>
      </c>
      <c r="H1879">
        <v>45</v>
      </c>
      <c r="I1879" t="s">
        <v>12</v>
      </c>
      <c r="J1879" t="s">
        <v>12</v>
      </c>
      <c r="K1879" t="s">
        <v>12</v>
      </c>
      <c r="L1879" t="s">
        <v>500</v>
      </c>
      <c r="M1879" t="s">
        <v>948</v>
      </c>
      <c r="O1879">
        <f>(753*28.9+271*55.8+10*96.2)/SUM(753,271,10)</f>
        <v>36.601063829787236</v>
      </c>
      <c r="DU1879">
        <v>1</v>
      </c>
      <c r="DV1879">
        <v>1</v>
      </c>
      <c r="DW1879">
        <v>1</v>
      </c>
      <c r="DX1879">
        <v>1</v>
      </c>
      <c r="DY1879">
        <v>1</v>
      </c>
      <c r="DZ1879">
        <v>1</v>
      </c>
      <c r="EA1879">
        <v>1</v>
      </c>
      <c r="EB1879">
        <v>1</v>
      </c>
      <c r="EC1879">
        <v>1</v>
      </c>
      <c r="ED1879">
        <v>1</v>
      </c>
      <c r="EE1879">
        <v>1</v>
      </c>
      <c r="EF1879">
        <v>1</v>
      </c>
      <c r="EG1879">
        <v>1</v>
      </c>
      <c r="EH1879">
        <v>1</v>
      </c>
      <c r="EI1879">
        <v>1</v>
      </c>
      <c r="EJ1879">
        <v>1</v>
      </c>
      <c r="EK1879">
        <v>1</v>
      </c>
      <c r="EL1879">
        <v>1</v>
      </c>
      <c r="EM1879">
        <v>1</v>
      </c>
      <c r="EN1879">
        <v>1</v>
      </c>
      <c r="EO1879">
        <v>1</v>
      </c>
      <c r="EP1879">
        <v>1</v>
      </c>
      <c r="EQ1879">
        <v>1</v>
      </c>
      <c r="ER1879">
        <v>1</v>
      </c>
      <c r="ES1879">
        <v>1</v>
      </c>
      <c r="ET1879">
        <v>1</v>
      </c>
      <c r="EU1879">
        <v>1</v>
      </c>
      <c r="EV1879">
        <v>1</v>
      </c>
      <c r="EW1879">
        <v>1</v>
      </c>
      <c r="EX1879">
        <v>1</v>
      </c>
      <c r="EY1879">
        <v>1</v>
      </c>
      <c r="EZ1879">
        <v>1</v>
      </c>
      <c r="FA1879">
        <v>1</v>
      </c>
      <c r="FB1879">
        <v>1</v>
      </c>
      <c r="FC1879">
        <v>1</v>
      </c>
      <c r="FD1879">
        <v>1</v>
      </c>
      <c r="FE1879">
        <v>1</v>
      </c>
      <c r="FF1879">
        <v>1</v>
      </c>
      <c r="FG1879">
        <v>1</v>
      </c>
      <c r="FH1879">
        <v>1</v>
      </c>
      <c r="FI1879">
        <v>1</v>
      </c>
      <c r="FJ1879">
        <v>1</v>
      </c>
      <c r="FK1879">
        <v>1</v>
      </c>
      <c r="FL1879">
        <v>1</v>
      </c>
      <c r="FM1879">
        <v>1</v>
      </c>
      <c r="FN1879">
        <v>1</v>
      </c>
      <c r="FO1879">
        <v>1</v>
      </c>
      <c r="FP1879">
        <v>1</v>
      </c>
      <c r="FQ1879">
        <v>1</v>
      </c>
      <c r="FR1879">
        <v>1</v>
      </c>
      <c r="FS1879">
        <v>1</v>
      </c>
      <c r="FT1879">
        <v>1</v>
      </c>
      <c r="FU1879">
        <v>1</v>
      </c>
      <c r="FV1879">
        <v>1</v>
      </c>
      <c r="FW1879">
        <v>1</v>
      </c>
      <c r="FX1879">
        <v>1</v>
      </c>
      <c r="FY1879">
        <v>1</v>
      </c>
      <c r="FZ1879">
        <v>1</v>
      </c>
      <c r="GA1879">
        <v>1</v>
      </c>
      <c r="GB1879">
        <v>1</v>
      </c>
    </row>
    <row r="1880" spans="1:184" x14ac:dyDescent="0.25">
      <c r="A1880" t="s">
        <v>457</v>
      </c>
      <c r="B1880" t="s">
        <v>136</v>
      </c>
      <c r="C1880" s="3">
        <v>24.01</v>
      </c>
      <c r="D1880" s="3">
        <v>120.64</v>
      </c>
      <c r="E1880" t="s">
        <v>12</v>
      </c>
      <c r="F1880" t="s">
        <v>77</v>
      </c>
      <c r="G1880" t="s">
        <v>106</v>
      </c>
      <c r="H1880">
        <v>40</v>
      </c>
      <c r="I1880" t="s">
        <v>15</v>
      </c>
      <c r="J1880" t="s">
        <v>12</v>
      </c>
      <c r="K1880" t="s">
        <v>12</v>
      </c>
      <c r="L1880" t="s">
        <v>463</v>
      </c>
      <c r="M1880" t="s">
        <v>970</v>
      </c>
      <c r="O1880">
        <v>54</v>
      </c>
      <c r="P1880">
        <v>23</v>
      </c>
      <c r="BX1880">
        <v>0.25</v>
      </c>
      <c r="CA1880">
        <v>0.25</v>
      </c>
    </row>
    <row r="1881" spans="1:184" x14ac:dyDescent="0.25">
      <c r="A1881" t="s">
        <v>205</v>
      </c>
      <c r="B1881" t="s">
        <v>136</v>
      </c>
      <c r="C1881" s="3">
        <v>22.97</v>
      </c>
      <c r="D1881" s="3">
        <v>120.19</v>
      </c>
      <c r="E1881" t="s">
        <v>12</v>
      </c>
      <c r="F1881" t="s">
        <v>77</v>
      </c>
      <c r="G1881" t="s">
        <v>97</v>
      </c>
      <c r="I1881" t="s">
        <v>15</v>
      </c>
      <c r="J1881" t="s">
        <v>12</v>
      </c>
      <c r="K1881" t="s">
        <v>12</v>
      </c>
      <c r="L1881" t="s">
        <v>776</v>
      </c>
      <c r="M1881" t="s">
        <v>834</v>
      </c>
      <c r="O1881">
        <v>45.3</v>
      </c>
      <c r="P1881">
        <v>3.6</v>
      </c>
      <c r="DI1881">
        <v>1</v>
      </c>
      <c r="DJ1881">
        <v>1</v>
      </c>
      <c r="DK1881">
        <v>1</v>
      </c>
      <c r="DL1881">
        <v>1</v>
      </c>
      <c r="DM1881">
        <v>1</v>
      </c>
      <c r="DN1881">
        <v>1</v>
      </c>
      <c r="DO1881">
        <v>1</v>
      </c>
      <c r="DP1881">
        <v>1</v>
      </c>
      <c r="DQ1881">
        <v>1</v>
      </c>
      <c r="DR1881">
        <v>1</v>
      </c>
      <c r="DS1881">
        <v>1</v>
      </c>
      <c r="DT1881">
        <v>1</v>
      </c>
    </row>
    <row r="1882" spans="1:184" x14ac:dyDescent="0.25">
      <c r="A1882" t="s">
        <v>205</v>
      </c>
      <c r="B1882" t="s">
        <v>136</v>
      </c>
      <c r="C1882" s="3">
        <v>22.97</v>
      </c>
      <c r="D1882" s="3">
        <v>120.19</v>
      </c>
      <c r="E1882" t="s">
        <v>12</v>
      </c>
      <c r="F1882" t="s">
        <v>77</v>
      </c>
      <c r="G1882" t="s">
        <v>97</v>
      </c>
      <c r="I1882" t="s">
        <v>15</v>
      </c>
      <c r="J1882" t="s">
        <v>12</v>
      </c>
      <c r="K1882" t="s">
        <v>12</v>
      </c>
      <c r="L1882" t="s">
        <v>776</v>
      </c>
      <c r="M1882" t="s">
        <v>834</v>
      </c>
      <c r="O1882">
        <v>61.7</v>
      </c>
      <c r="P1882">
        <v>7.7</v>
      </c>
      <c r="DU1882">
        <v>1</v>
      </c>
      <c r="DV1882">
        <v>1</v>
      </c>
      <c r="DW1882">
        <v>1</v>
      </c>
      <c r="DX1882">
        <v>1</v>
      </c>
      <c r="DY1882">
        <v>1</v>
      </c>
      <c r="DZ1882">
        <v>1</v>
      </c>
      <c r="EA1882">
        <v>1</v>
      </c>
      <c r="EB1882">
        <v>1</v>
      </c>
      <c r="EC1882">
        <v>1</v>
      </c>
      <c r="ED1882">
        <v>1</v>
      </c>
      <c r="EE1882">
        <v>1</v>
      </c>
      <c r="EF1882">
        <v>1</v>
      </c>
    </row>
    <row r="1883" spans="1:184" x14ac:dyDescent="0.25">
      <c r="A1883" t="s">
        <v>205</v>
      </c>
      <c r="B1883" t="s">
        <v>136</v>
      </c>
      <c r="C1883" s="3">
        <v>22.97</v>
      </c>
      <c r="D1883" s="3">
        <v>120.19</v>
      </c>
      <c r="E1883" t="s">
        <v>12</v>
      </c>
      <c r="F1883" t="s">
        <v>77</v>
      </c>
      <c r="G1883" t="s">
        <v>97</v>
      </c>
      <c r="I1883" t="s">
        <v>15</v>
      </c>
      <c r="J1883" t="s">
        <v>12</v>
      </c>
      <c r="K1883" t="s">
        <v>12</v>
      </c>
      <c r="L1883" t="s">
        <v>776</v>
      </c>
      <c r="M1883" t="s">
        <v>834</v>
      </c>
      <c r="O1883">
        <v>48.5</v>
      </c>
      <c r="P1883">
        <v>4.2</v>
      </c>
      <c r="EG1883">
        <v>1</v>
      </c>
      <c r="EH1883">
        <v>1</v>
      </c>
      <c r="EI1883">
        <v>1</v>
      </c>
      <c r="EJ1883">
        <v>1</v>
      </c>
      <c r="EK1883">
        <v>1</v>
      </c>
      <c r="EL1883">
        <v>1</v>
      </c>
      <c r="EM1883">
        <v>1</v>
      </c>
      <c r="EN1883">
        <v>1</v>
      </c>
      <c r="EO1883">
        <v>1</v>
      </c>
      <c r="EP1883">
        <v>1</v>
      </c>
      <c r="EQ1883">
        <v>1</v>
      </c>
      <c r="ER1883">
        <v>1</v>
      </c>
    </row>
    <row r="1884" spans="1:184" x14ac:dyDescent="0.25">
      <c r="A1884" t="s">
        <v>205</v>
      </c>
      <c r="B1884" t="s">
        <v>136</v>
      </c>
      <c r="C1884" s="3">
        <v>22.97</v>
      </c>
      <c r="D1884" s="3">
        <v>120.19</v>
      </c>
      <c r="E1884" t="s">
        <v>12</v>
      </c>
      <c r="F1884" t="s">
        <v>77</v>
      </c>
      <c r="G1884" t="s">
        <v>97</v>
      </c>
      <c r="I1884" t="s">
        <v>15</v>
      </c>
      <c r="J1884" t="s">
        <v>12</v>
      </c>
      <c r="K1884" t="s">
        <v>12</v>
      </c>
      <c r="L1884" t="s">
        <v>776</v>
      </c>
      <c r="M1884" t="s">
        <v>834</v>
      </c>
      <c r="O1884">
        <v>59.9</v>
      </c>
      <c r="P1884">
        <v>6.2</v>
      </c>
      <c r="FE1884">
        <v>1</v>
      </c>
      <c r="FF1884">
        <v>1</v>
      </c>
      <c r="FG1884">
        <v>1</v>
      </c>
      <c r="FH1884">
        <v>1</v>
      </c>
      <c r="FI1884">
        <v>1</v>
      </c>
      <c r="FJ1884">
        <v>1</v>
      </c>
      <c r="FK1884">
        <v>1</v>
      </c>
      <c r="FL1884">
        <v>1</v>
      </c>
      <c r="FM1884">
        <v>1</v>
      </c>
      <c r="FN1884">
        <v>1</v>
      </c>
      <c r="FO1884">
        <v>1</v>
      </c>
      <c r="FP1884">
        <v>1</v>
      </c>
    </row>
    <row r="1885" spans="1:184" x14ac:dyDescent="0.25">
      <c r="A1885" t="s">
        <v>205</v>
      </c>
      <c r="B1885" t="s">
        <v>136</v>
      </c>
      <c r="C1885" s="3">
        <f t="shared" ref="C1885:C1920" si="52">22+59/60+3.7/3600</f>
        <v>22.984361111111113</v>
      </c>
      <c r="D1885" s="3">
        <f t="shared" ref="D1885:D1920" si="53">120+12/60+8.1/3600</f>
        <v>120.20225000000001</v>
      </c>
      <c r="E1885" t="s">
        <v>15</v>
      </c>
      <c r="F1885" t="s">
        <v>19</v>
      </c>
      <c r="G1885" t="s">
        <v>214</v>
      </c>
      <c r="I1885" t="s">
        <v>12</v>
      </c>
      <c r="J1885" t="s">
        <v>12</v>
      </c>
      <c r="K1885" t="s">
        <v>12</v>
      </c>
      <c r="L1885" t="s">
        <v>624</v>
      </c>
      <c r="M1885" t="s">
        <v>868</v>
      </c>
      <c r="O1885">
        <v>55</v>
      </c>
      <c r="ES1885">
        <v>1</v>
      </c>
    </row>
    <row r="1886" spans="1:184" x14ac:dyDescent="0.25">
      <c r="A1886" t="s">
        <v>205</v>
      </c>
      <c r="B1886" t="s">
        <v>136</v>
      </c>
      <c r="C1886" s="3">
        <f t="shared" si="52"/>
        <v>22.984361111111113</v>
      </c>
      <c r="D1886" s="3">
        <f t="shared" si="53"/>
        <v>120.20225000000001</v>
      </c>
      <c r="E1886" t="s">
        <v>15</v>
      </c>
      <c r="F1886" t="s">
        <v>19</v>
      </c>
      <c r="G1886" t="s">
        <v>214</v>
      </c>
      <c r="I1886" t="s">
        <v>12</v>
      </c>
      <c r="J1886" t="s">
        <v>12</v>
      </c>
      <c r="K1886" t="s">
        <v>12</v>
      </c>
      <c r="L1886" t="s">
        <v>624</v>
      </c>
      <c r="M1886" t="s">
        <v>868</v>
      </c>
      <c r="O1886">
        <v>50</v>
      </c>
      <c r="ET1886">
        <v>1</v>
      </c>
    </row>
    <row r="1887" spans="1:184" x14ac:dyDescent="0.25">
      <c r="A1887" t="s">
        <v>205</v>
      </c>
      <c r="B1887" t="s">
        <v>136</v>
      </c>
      <c r="C1887" s="3">
        <f t="shared" si="52"/>
        <v>22.984361111111113</v>
      </c>
      <c r="D1887" s="3">
        <f t="shared" si="53"/>
        <v>120.20225000000001</v>
      </c>
      <c r="E1887" t="s">
        <v>15</v>
      </c>
      <c r="F1887" t="s">
        <v>19</v>
      </c>
      <c r="G1887" t="s">
        <v>214</v>
      </c>
      <c r="I1887" t="s">
        <v>12</v>
      </c>
      <c r="J1887" t="s">
        <v>12</v>
      </c>
      <c r="K1887" t="s">
        <v>12</v>
      </c>
      <c r="L1887" t="s">
        <v>624</v>
      </c>
      <c r="M1887" t="s">
        <v>868</v>
      </c>
      <c r="O1887">
        <v>50</v>
      </c>
      <c r="EU1887">
        <v>1</v>
      </c>
    </row>
    <row r="1888" spans="1:184" x14ac:dyDescent="0.25">
      <c r="A1888" t="s">
        <v>205</v>
      </c>
      <c r="B1888" t="s">
        <v>136</v>
      </c>
      <c r="C1888" s="3">
        <f t="shared" si="52"/>
        <v>22.984361111111113</v>
      </c>
      <c r="D1888" s="3">
        <f t="shared" si="53"/>
        <v>120.20225000000001</v>
      </c>
      <c r="E1888" t="s">
        <v>15</v>
      </c>
      <c r="F1888" t="s">
        <v>19</v>
      </c>
      <c r="G1888" t="s">
        <v>214</v>
      </c>
      <c r="I1888" t="s">
        <v>12</v>
      </c>
      <c r="J1888" t="s">
        <v>12</v>
      </c>
      <c r="K1888" t="s">
        <v>12</v>
      </c>
      <c r="L1888" t="s">
        <v>624</v>
      </c>
      <c r="M1888" t="s">
        <v>868</v>
      </c>
      <c r="O1888">
        <v>37</v>
      </c>
      <c r="EV1888">
        <v>1</v>
      </c>
    </row>
    <row r="1889" spans="1:168" x14ac:dyDescent="0.25">
      <c r="A1889" t="s">
        <v>205</v>
      </c>
      <c r="B1889" t="s">
        <v>136</v>
      </c>
      <c r="C1889" s="3">
        <f t="shared" si="52"/>
        <v>22.984361111111113</v>
      </c>
      <c r="D1889" s="3">
        <f t="shared" si="53"/>
        <v>120.20225000000001</v>
      </c>
      <c r="E1889" t="s">
        <v>15</v>
      </c>
      <c r="F1889" t="s">
        <v>19</v>
      </c>
      <c r="G1889" t="s">
        <v>214</v>
      </c>
      <c r="I1889" t="s">
        <v>12</v>
      </c>
      <c r="J1889" t="s">
        <v>12</v>
      </c>
      <c r="K1889" t="s">
        <v>12</v>
      </c>
      <c r="L1889" t="s">
        <v>624</v>
      </c>
      <c r="M1889" t="s">
        <v>868</v>
      </c>
      <c r="O1889">
        <v>30</v>
      </c>
      <c r="EW1889">
        <v>1</v>
      </c>
    </row>
    <row r="1890" spans="1:168" x14ac:dyDescent="0.25">
      <c r="A1890" t="s">
        <v>205</v>
      </c>
      <c r="B1890" t="s">
        <v>136</v>
      </c>
      <c r="C1890" s="3">
        <f t="shared" si="52"/>
        <v>22.984361111111113</v>
      </c>
      <c r="D1890" s="3">
        <f t="shared" si="53"/>
        <v>120.20225000000001</v>
      </c>
      <c r="E1890" t="s">
        <v>15</v>
      </c>
      <c r="F1890" t="s">
        <v>19</v>
      </c>
      <c r="G1890" t="s">
        <v>214</v>
      </c>
      <c r="I1890" t="s">
        <v>12</v>
      </c>
      <c r="J1890" t="s">
        <v>12</v>
      </c>
      <c r="K1890" t="s">
        <v>12</v>
      </c>
      <c r="L1890" t="s">
        <v>624</v>
      </c>
      <c r="M1890" t="s">
        <v>868</v>
      </c>
      <c r="O1890">
        <v>20</v>
      </c>
      <c r="EX1890">
        <v>1</v>
      </c>
    </row>
    <row r="1891" spans="1:168" x14ac:dyDescent="0.25">
      <c r="A1891" t="s">
        <v>205</v>
      </c>
      <c r="B1891" t="s">
        <v>136</v>
      </c>
      <c r="C1891" s="3">
        <f t="shared" si="52"/>
        <v>22.984361111111113</v>
      </c>
      <c r="D1891" s="3">
        <f t="shared" si="53"/>
        <v>120.20225000000001</v>
      </c>
      <c r="E1891" t="s">
        <v>15</v>
      </c>
      <c r="F1891" t="s">
        <v>19</v>
      </c>
      <c r="G1891" t="s">
        <v>214</v>
      </c>
      <c r="I1891" t="s">
        <v>12</v>
      </c>
      <c r="J1891" t="s">
        <v>12</v>
      </c>
      <c r="K1891" t="s">
        <v>12</v>
      </c>
      <c r="L1891" t="s">
        <v>624</v>
      </c>
      <c r="M1891" t="s">
        <v>868</v>
      </c>
      <c r="O1891">
        <v>23</v>
      </c>
      <c r="EY1891">
        <v>1</v>
      </c>
    </row>
    <row r="1892" spans="1:168" x14ac:dyDescent="0.25">
      <c r="A1892" t="s">
        <v>205</v>
      </c>
      <c r="B1892" t="s">
        <v>136</v>
      </c>
      <c r="C1892" s="3">
        <f t="shared" si="52"/>
        <v>22.984361111111113</v>
      </c>
      <c r="D1892" s="3">
        <f t="shared" si="53"/>
        <v>120.20225000000001</v>
      </c>
      <c r="E1892" t="s">
        <v>15</v>
      </c>
      <c r="F1892" t="s">
        <v>19</v>
      </c>
      <c r="G1892" t="s">
        <v>214</v>
      </c>
      <c r="I1892" t="s">
        <v>12</v>
      </c>
      <c r="J1892" t="s">
        <v>12</v>
      </c>
      <c r="K1892" t="s">
        <v>12</v>
      </c>
      <c r="L1892" t="s">
        <v>624</v>
      </c>
      <c r="M1892" t="s">
        <v>868</v>
      </c>
      <c r="O1892">
        <v>27</v>
      </c>
      <c r="EZ1892">
        <v>1</v>
      </c>
    </row>
    <row r="1893" spans="1:168" x14ac:dyDescent="0.25">
      <c r="A1893" t="s">
        <v>205</v>
      </c>
      <c r="B1893" t="s">
        <v>136</v>
      </c>
      <c r="C1893" s="3">
        <f t="shared" si="52"/>
        <v>22.984361111111113</v>
      </c>
      <c r="D1893" s="3">
        <f t="shared" si="53"/>
        <v>120.20225000000001</v>
      </c>
      <c r="E1893" t="s">
        <v>15</v>
      </c>
      <c r="F1893" t="s">
        <v>19</v>
      </c>
      <c r="G1893" t="s">
        <v>214</v>
      </c>
      <c r="I1893" t="s">
        <v>12</v>
      </c>
      <c r="J1893" t="s">
        <v>12</v>
      </c>
      <c r="K1893" t="s">
        <v>12</v>
      </c>
      <c r="L1893" t="s">
        <v>624</v>
      </c>
      <c r="M1893" t="s">
        <v>868</v>
      </c>
      <c r="O1893">
        <v>40</v>
      </c>
      <c r="FA1893">
        <v>1</v>
      </c>
    </row>
    <row r="1894" spans="1:168" x14ac:dyDescent="0.25">
      <c r="A1894" t="s">
        <v>205</v>
      </c>
      <c r="B1894" t="s">
        <v>136</v>
      </c>
      <c r="C1894" s="3">
        <f t="shared" si="52"/>
        <v>22.984361111111113</v>
      </c>
      <c r="D1894" s="3">
        <f t="shared" si="53"/>
        <v>120.20225000000001</v>
      </c>
      <c r="E1894" t="s">
        <v>15</v>
      </c>
      <c r="F1894" t="s">
        <v>19</v>
      </c>
      <c r="G1894" t="s">
        <v>214</v>
      </c>
      <c r="I1894" t="s">
        <v>12</v>
      </c>
      <c r="J1894" t="s">
        <v>12</v>
      </c>
      <c r="K1894" t="s">
        <v>12</v>
      </c>
      <c r="L1894" t="s">
        <v>624</v>
      </c>
      <c r="M1894" t="s">
        <v>868</v>
      </c>
      <c r="O1894">
        <v>60</v>
      </c>
      <c r="FB1894">
        <v>1</v>
      </c>
    </row>
    <row r="1895" spans="1:168" x14ac:dyDescent="0.25">
      <c r="A1895" t="s">
        <v>205</v>
      </c>
      <c r="B1895" t="s">
        <v>136</v>
      </c>
      <c r="C1895" s="3">
        <f t="shared" si="52"/>
        <v>22.984361111111113</v>
      </c>
      <c r="D1895" s="3">
        <f t="shared" si="53"/>
        <v>120.20225000000001</v>
      </c>
      <c r="E1895" t="s">
        <v>15</v>
      </c>
      <c r="F1895" t="s">
        <v>19</v>
      </c>
      <c r="G1895" t="s">
        <v>214</v>
      </c>
      <c r="I1895" t="s">
        <v>12</v>
      </c>
      <c r="J1895" t="s">
        <v>12</v>
      </c>
      <c r="K1895" t="s">
        <v>12</v>
      </c>
      <c r="L1895" t="s">
        <v>624</v>
      </c>
      <c r="M1895" t="s">
        <v>868</v>
      </c>
      <c r="O1895">
        <v>49</v>
      </c>
      <c r="FC1895">
        <v>1</v>
      </c>
    </row>
    <row r="1896" spans="1:168" x14ac:dyDescent="0.25">
      <c r="A1896" t="s">
        <v>205</v>
      </c>
      <c r="B1896" t="s">
        <v>136</v>
      </c>
      <c r="C1896" s="3">
        <f t="shared" si="52"/>
        <v>22.984361111111113</v>
      </c>
      <c r="D1896" s="3">
        <f t="shared" si="53"/>
        <v>120.20225000000001</v>
      </c>
      <c r="E1896" t="s">
        <v>15</v>
      </c>
      <c r="F1896" t="s">
        <v>19</v>
      </c>
      <c r="G1896" t="s">
        <v>214</v>
      </c>
      <c r="I1896" t="s">
        <v>12</v>
      </c>
      <c r="J1896" t="s">
        <v>12</v>
      </c>
      <c r="K1896" t="s">
        <v>12</v>
      </c>
      <c r="L1896" t="s">
        <v>624</v>
      </c>
      <c r="M1896" t="s">
        <v>868</v>
      </c>
      <c r="O1896">
        <v>47</v>
      </c>
      <c r="FD1896">
        <v>1</v>
      </c>
    </row>
    <row r="1897" spans="1:168" x14ac:dyDescent="0.25">
      <c r="A1897" t="s">
        <v>205</v>
      </c>
      <c r="B1897" t="s">
        <v>136</v>
      </c>
      <c r="C1897" s="3">
        <f t="shared" si="52"/>
        <v>22.984361111111113</v>
      </c>
      <c r="D1897" s="3">
        <f t="shared" si="53"/>
        <v>120.20225000000001</v>
      </c>
      <c r="E1897" t="s">
        <v>15</v>
      </c>
      <c r="F1897" t="s">
        <v>19</v>
      </c>
      <c r="G1897" t="s">
        <v>214</v>
      </c>
      <c r="I1897" t="s">
        <v>12</v>
      </c>
      <c r="J1897" t="s">
        <v>12</v>
      </c>
      <c r="K1897" t="s">
        <v>12</v>
      </c>
      <c r="L1897" t="s">
        <v>624</v>
      </c>
      <c r="M1897" t="s">
        <v>868</v>
      </c>
      <c r="O1897">
        <v>51</v>
      </c>
      <c r="FE1897">
        <v>1</v>
      </c>
    </row>
    <row r="1898" spans="1:168" x14ac:dyDescent="0.25">
      <c r="A1898" t="s">
        <v>205</v>
      </c>
      <c r="B1898" t="s">
        <v>136</v>
      </c>
      <c r="C1898" s="3">
        <f t="shared" si="52"/>
        <v>22.984361111111113</v>
      </c>
      <c r="D1898" s="3">
        <f t="shared" si="53"/>
        <v>120.20225000000001</v>
      </c>
      <c r="E1898" t="s">
        <v>15</v>
      </c>
      <c r="F1898" t="s">
        <v>19</v>
      </c>
      <c r="G1898" t="s">
        <v>214</v>
      </c>
      <c r="I1898" t="s">
        <v>12</v>
      </c>
      <c r="J1898" t="s">
        <v>12</v>
      </c>
      <c r="K1898" t="s">
        <v>12</v>
      </c>
      <c r="L1898" t="s">
        <v>624</v>
      </c>
      <c r="M1898" t="s">
        <v>868</v>
      </c>
      <c r="O1898">
        <v>55</v>
      </c>
      <c r="FF1898">
        <v>1</v>
      </c>
    </row>
    <row r="1899" spans="1:168" x14ac:dyDescent="0.25">
      <c r="A1899" t="s">
        <v>205</v>
      </c>
      <c r="B1899" t="s">
        <v>136</v>
      </c>
      <c r="C1899" s="3">
        <f t="shared" si="52"/>
        <v>22.984361111111113</v>
      </c>
      <c r="D1899" s="3">
        <f t="shared" si="53"/>
        <v>120.20225000000001</v>
      </c>
      <c r="E1899" t="s">
        <v>15</v>
      </c>
      <c r="F1899" t="s">
        <v>19</v>
      </c>
      <c r="G1899" t="s">
        <v>214</v>
      </c>
      <c r="I1899" t="s">
        <v>12</v>
      </c>
      <c r="J1899" t="s">
        <v>12</v>
      </c>
      <c r="K1899" t="s">
        <v>12</v>
      </c>
      <c r="L1899" t="s">
        <v>624</v>
      </c>
      <c r="M1899" t="s">
        <v>868</v>
      </c>
      <c r="O1899">
        <v>46</v>
      </c>
      <c r="FG1899">
        <v>1</v>
      </c>
    </row>
    <row r="1900" spans="1:168" x14ac:dyDescent="0.25">
      <c r="A1900" t="s">
        <v>205</v>
      </c>
      <c r="B1900" t="s">
        <v>136</v>
      </c>
      <c r="C1900" s="3">
        <f t="shared" si="52"/>
        <v>22.984361111111113</v>
      </c>
      <c r="D1900" s="3">
        <f t="shared" si="53"/>
        <v>120.20225000000001</v>
      </c>
      <c r="E1900" t="s">
        <v>15</v>
      </c>
      <c r="F1900" t="s">
        <v>19</v>
      </c>
      <c r="G1900" t="s">
        <v>214</v>
      </c>
      <c r="I1900" t="s">
        <v>12</v>
      </c>
      <c r="J1900" t="s">
        <v>12</v>
      </c>
      <c r="K1900" t="s">
        <v>12</v>
      </c>
      <c r="L1900" t="s">
        <v>624</v>
      </c>
      <c r="M1900" t="s">
        <v>868</v>
      </c>
      <c r="O1900">
        <v>40</v>
      </c>
      <c r="FH1900">
        <v>1</v>
      </c>
    </row>
    <row r="1901" spans="1:168" x14ac:dyDescent="0.25">
      <c r="A1901" t="s">
        <v>205</v>
      </c>
      <c r="B1901" t="s">
        <v>136</v>
      </c>
      <c r="C1901" s="3">
        <f t="shared" si="52"/>
        <v>22.984361111111113</v>
      </c>
      <c r="D1901" s="3">
        <f t="shared" si="53"/>
        <v>120.20225000000001</v>
      </c>
      <c r="E1901" t="s">
        <v>15</v>
      </c>
      <c r="F1901" t="s">
        <v>19</v>
      </c>
      <c r="G1901" t="s">
        <v>214</v>
      </c>
      <c r="I1901" t="s">
        <v>12</v>
      </c>
      <c r="J1901" t="s">
        <v>12</v>
      </c>
      <c r="K1901" t="s">
        <v>12</v>
      </c>
      <c r="L1901" t="s">
        <v>624</v>
      </c>
      <c r="M1901" t="s">
        <v>868</v>
      </c>
      <c r="O1901">
        <v>40</v>
      </c>
      <c r="FI1901">
        <v>1</v>
      </c>
    </row>
    <row r="1902" spans="1:168" x14ac:dyDescent="0.25">
      <c r="A1902" t="s">
        <v>205</v>
      </c>
      <c r="B1902" t="s">
        <v>136</v>
      </c>
      <c r="C1902" s="3">
        <f t="shared" si="52"/>
        <v>22.984361111111113</v>
      </c>
      <c r="D1902" s="3">
        <f t="shared" si="53"/>
        <v>120.20225000000001</v>
      </c>
      <c r="E1902" t="s">
        <v>15</v>
      </c>
      <c r="F1902" t="s">
        <v>19</v>
      </c>
      <c r="G1902" t="s">
        <v>214</v>
      </c>
      <c r="I1902" t="s">
        <v>12</v>
      </c>
      <c r="J1902" t="s">
        <v>12</v>
      </c>
      <c r="K1902" t="s">
        <v>12</v>
      </c>
      <c r="L1902" t="s">
        <v>624</v>
      </c>
      <c r="M1902" t="s">
        <v>868</v>
      </c>
      <c r="O1902">
        <v>21</v>
      </c>
      <c r="FJ1902">
        <v>1</v>
      </c>
    </row>
    <row r="1903" spans="1:168" x14ac:dyDescent="0.25">
      <c r="A1903" t="s">
        <v>205</v>
      </c>
      <c r="B1903" t="s">
        <v>136</v>
      </c>
      <c r="C1903" s="3">
        <f t="shared" si="52"/>
        <v>22.984361111111113</v>
      </c>
      <c r="D1903" s="3">
        <f t="shared" si="53"/>
        <v>120.20225000000001</v>
      </c>
      <c r="E1903" t="s">
        <v>15</v>
      </c>
      <c r="F1903" t="s">
        <v>19</v>
      </c>
      <c r="G1903" t="s">
        <v>214</v>
      </c>
      <c r="I1903" t="s">
        <v>12</v>
      </c>
      <c r="J1903" t="s">
        <v>12</v>
      </c>
      <c r="K1903" t="s">
        <v>12</v>
      </c>
      <c r="L1903" t="s">
        <v>624</v>
      </c>
      <c r="M1903" t="s">
        <v>868</v>
      </c>
      <c r="O1903">
        <v>27</v>
      </c>
      <c r="FK1903">
        <v>1</v>
      </c>
    </row>
    <row r="1904" spans="1:168" x14ac:dyDescent="0.25">
      <c r="A1904" t="s">
        <v>205</v>
      </c>
      <c r="B1904" t="s">
        <v>136</v>
      </c>
      <c r="C1904" s="3">
        <f t="shared" si="52"/>
        <v>22.984361111111113</v>
      </c>
      <c r="D1904" s="3">
        <f t="shared" si="53"/>
        <v>120.20225000000001</v>
      </c>
      <c r="E1904" t="s">
        <v>15</v>
      </c>
      <c r="F1904" t="s">
        <v>19</v>
      </c>
      <c r="G1904" t="s">
        <v>214</v>
      </c>
      <c r="I1904" t="s">
        <v>12</v>
      </c>
      <c r="J1904" t="s">
        <v>12</v>
      </c>
      <c r="K1904" t="s">
        <v>12</v>
      </c>
      <c r="L1904" t="s">
        <v>624</v>
      </c>
      <c r="M1904" t="s">
        <v>868</v>
      </c>
      <c r="O1904">
        <v>23</v>
      </c>
      <c r="FL1904">
        <v>1</v>
      </c>
    </row>
    <row r="1905" spans="1:184" x14ac:dyDescent="0.25">
      <c r="A1905" t="s">
        <v>205</v>
      </c>
      <c r="B1905" t="s">
        <v>136</v>
      </c>
      <c r="C1905" s="3">
        <f t="shared" si="52"/>
        <v>22.984361111111113</v>
      </c>
      <c r="D1905" s="3">
        <f t="shared" si="53"/>
        <v>120.20225000000001</v>
      </c>
      <c r="E1905" t="s">
        <v>15</v>
      </c>
      <c r="F1905" t="s">
        <v>19</v>
      </c>
      <c r="G1905" t="s">
        <v>214</v>
      </c>
      <c r="I1905" t="s">
        <v>12</v>
      </c>
      <c r="J1905" t="s">
        <v>12</v>
      </c>
      <c r="K1905" t="s">
        <v>12</v>
      </c>
      <c r="L1905" t="s">
        <v>624</v>
      </c>
      <c r="M1905" t="s">
        <v>868</v>
      </c>
      <c r="O1905">
        <v>44</v>
      </c>
      <c r="FM1905">
        <v>1</v>
      </c>
    </row>
    <row r="1906" spans="1:184" x14ac:dyDescent="0.25">
      <c r="A1906" t="s">
        <v>205</v>
      </c>
      <c r="B1906" t="s">
        <v>136</v>
      </c>
      <c r="C1906" s="3">
        <f t="shared" si="52"/>
        <v>22.984361111111113</v>
      </c>
      <c r="D1906" s="3">
        <f t="shared" si="53"/>
        <v>120.20225000000001</v>
      </c>
      <c r="E1906" t="s">
        <v>15</v>
      </c>
      <c r="F1906" t="s">
        <v>19</v>
      </c>
      <c r="G1906" t="s">
        <v>214</v>
      </c>
      <c r="I1906" t="s">
        <v>12</v>
      </c>
      <c r="J1906" t="s">
        <v>12</v>
      </c>
      <c r="K1906" t="s">
        <v>12</v>
      </c>
      <c r="L1906" t="s">
        <v>624</v>
      </c>
      <c r="M1906" t="s">
        <v>868</v>
      </c>
      <c r="O1906">
        <v>40</v>
      </c>
      <c r="FN1906">
        <v>1</v>
      </c>
    </row>
    <row r="1907" spans="1:184" x14ac:dyDescent="0.25">
      <c r="A1907" t="s">
        <v>205</v>
      </c>
      <c r="B1907" t="s">
        <v>136</v>
      </c>
      <c r="C1907" s="3">
        <f t="shared" si="52"/>
        <v>22.984361111111113</v>
      </c>
      <c r="D1907" s="3">
        <f t="shared" si="53"/>
        <v>120.20225000000001</v>
      </c>
      <c r="E1907" t="s">
        <v>15</v>
      </c>
      <c r="F1907" t="s">
        <v>19</v>
      </c>
      <c r="G1907" t="s">
        <v>214</v>
      </c>
      <c r="I1907" t="s">
        <v>12</v>
      </c>
      <c r="J1907" t="s">
        <v>12</v>
      </c>
      <c r="K1907" t="s">
        <v>12</v>
      </c>
      <c r="L1907" t="s">
        <v>624</v>
      </c>
      <c r="M1907" t="s">
        <v>868</v>
      </c>
      <c r="O1907">
        <v>36</v>
      </c>
      <c r="FO1907">
        <v>1</v>
      </c>
    </row>
    <row r="1908" spans="1:184" x14ac:dyDescent="0.25">
      <c r="A1908" t="s">
        <v>205</v>
      </c>
      <c r="B1908" t="s">
        <v>136</v>
      </c>
      <c r="C1908" s="3">
        <f t="shared" si="52"/>
        <v>22.984361111111113</v>
      </c>
      <c r="D1908" s="3">
        <f t="shared" si="53"/>
        <v>120.20225000000001</v>
      </c>
      <c r="E1908" t="s">
        <v>15</v>
      </c>
      <c r="F1908" t="s">
        <v>19</v>
      </c>
      <c r="G1908" t="s">
        <v>214</v>
      </c>
      <c r="I1908" t="s">
        <v>12</v>
      </c>
      <c r="J1908" t="s">
        <v>12</v>
      </c>
      <c r="K1908" t="s">
        <v>12</v>
      </c>
      <c r="L1908" t="s">
        <v>624</v>
      </c>
      <c r="M1908" t="s">
        <v>868</v>
      </c>
      <c r="O1908">
        <v>53</v>
      </c>
      <c r="FP1908">
        <v>1</v>
      </c>
    </row>
    <row r="1909" spans="1:184" x14ac:dyDescent="0.25">
      <c r="A1909" t="s">
        <v>205</v>
      </c>
      <c r="B1909" t="s">
        <v>136</v>
      </c>
      <c r="C1909" s="3">
        <f t="shared" si="52"/>
        <v>22.984361111111113</v>
      </c>
      <c r="D1909" s="3">
        <f t="shared" si="53"/>
        <v>120.20225000000001</v>
      </c>
      <c r="E1909" t="s">
        <v>15</v>
      </c>
      <c r="F1909" t="s">
        <v>19</v>
      </c>
      <c r="G1909" t="s">
        <v>214</v>
      </c>
      <c r="I1909" t="s">
        <v>12</v>
      </c>
      <c r="J1909" t="s">
        <v>12</v>
      </c>
      <c r="K1909" t="s">
        <v>12</v>
      </c>
      <c r="L1909" t="s">
        <v>624</v>
      </c>
      <c r="M1909" t="s">
        <v>868</v>
      </c>
      <c r="O1909">
        <v>55</v>
      </c>
      <c r="FQ1909">
        <v>1</v>
      </c>
    </row>
    <row r="1910" spans="1:184" x14ac:dyDescent="0.25">
      <c r="A1910" t="s">
        <v>205</v>
      </c>
      <c r="B1910" t="s">
        <v>136</v>
      </c>
      <c r="C1910" s="3">
        <f t="shared" si="52"/>
        <v>22.984361111111113</v>
      </c>
      <c r="D1910" s="3">
        <f t="shared" si="53"/>
        <v>120.20225000000001</v>
      </c>
      <c r="E1910" t="s">
        <v>15</v>
      </c>
      <c r="F1910" t="s">
        <v>19</v>
      </c>
      <c r="G1910" t="s">
        <v>214</v>
      </c>
      <c r="I1910" t="s">
        <v>12</v>
      </c>
      <c r="J1910" t="s">
        <v>12</v>
      </c>
      <c r="K1910" t="s">
        <v>12</v>
      </c>
      <c r="L1910" t="s">
        <v>624</v>
      </c>
      <c r="M1910" t="s">
        <v>868</v>
      </c>
      <c r="O1910">
        <v>54</v>
      </c>
      <c r="FR1910">
        <v>1</v>
      </c>
    </row>
    <row r="1911" spans="1:184" x14ac:dyDescent="0.25">
      <c r="A1911" t="s">
        <v>205</v>
      </c>
      <c r="B1911" t="s">
        <v>136</v>
      </c>
      <c r="C1911" s="3">
        <f t="shared" si="52"/>
        <v>22.984361111111113</v>
      </c>
      <c r="D1911" s="3">
        <f t="shared" si="53"/>
        <v>120.20225000000001</v>
      </c>
      <c r="E1911" t="s">
        <v>15</v>
      </c>
      <c r="F1911" t="s">
        <v>19</v>
      </c>
      <c r="G1911" t="s">
        <v>214</v>
      </c>
      <c r="I1911" t="s">
        <v>12</v>
      </c>
      <c r="J1911" t="s">
        <v>12</v>
      </c>
      <c r="K1911" t="s">
        <v>12</v>
      </c>
      <c r="L1911" t="s">
        <v>624</v>
      </c>
      <c r="M1911" t="s">
        <v>868</v>
      </c>
      <c r="O1911">
        <v>66</v>
      </c>
      <c r="FS1911">
        <v>1</v>
      </c>
    </row>
    <row r="1912" spans="1:184" x14ac:dyDescent="0.25">
      <c r="A1912" t="s">
        <v>205</v>
      </c>
      <c r="B1912" t="s">
        <v>136</v>
      </c>
      <c r="C1912" s="3">
        <f t="shared" si="52"/>
        <v>22.984361111111113</v>
      </c>
      <c r="D1912" s="3">
        <f t="shared" si="53"/>
        <v>120.20225000000001</v>
      </c>
      <c r="E1912" t="s">
        <v>15</v>
      </c>
      <c r="F1912" t="s">
        <v>19</v>
      </c>
      <c r="G1912" t="s">
        <v>214</v>
      </c>
      <c r="I1912" t="s">
        <v>12</v>
      </c>
      <c r="J1912" t="s">
        <v>12</v>
      </c>
      <c r="K1912" t="s">
        <v>12</v>
      </c>
      <c r="L1912" t="s">
        <v>624</v>
      </c>
      <c r="M1912" t="s">
        <v>868</v>
      </c>
      <c r="O1912">
        <v>52</v>
      </c>
      <c r="FT1912">
        <v>1</v>
      </c>
    </row>
    <row r="1913" spans="1:184" x14ac:dyDescent="0.25">
      <c r="A1913" t="s">
        <v>205</v>
      </c>
      <c r="B1913" t="s">
        <v>136</v>
      </c>
      <c r="C1913" s="3">
        <f t="shared" si="52"/>
        <v>22.984361111111113</v>
      </c>
      <c r="D1913" s="3">
        <f t="shared" si="53"/>
        <v>120.20225000000001</v>
      </c>
      <c r="E1913" t="s">
        <v>15</v>
      </c>
      <c r="F1913" t="s">
        <v>19</v>
      </c>
      <c r="G1913" t="s">
        <v>214</v>
      </c>
      <c r="I1913" t="s">
        <v>12</v>
      </c>
      <c r="J1913" t="s">
        <v>12</v>
      </c>
      <c r="K1913" t="s">
        <v>12</v>
      </c>
      <c r="L1913" t="s">
        <v>624</v>
      </c>
      <c r="M1913" t="s">
        <v>868</v>
      </c>
      <c r="O1913">
        <v>37</v>
      </c>
      <c r="FU1913">
        <v>1</v>
      </c>
    </row>
    <row r="1914" spans="1:184" x14ac:dyDescent="0.25">
      <c r="A1914" t="s">
        <v>205</v>
      </c>
      <c r="B1914" t="s">
        <v>136</v>
      </c>
      <c r="C1914" s="3">
        <f t="shared" si="52"/>
        <v>22.984361111111113</v>
      </c>
      <c r="D1914" s="3">
        <f t="shared" si="53"/>
        <v>120.20225000000001</v>
      </c>
      <c r="E1914" t="s">
        <v>15</v>
      </c>
      <c r="F1914" t="s">
        <v>19</v>
      </c>
      <c r="G1914" t="s">
        <v>214</v>
      </c>
      <c r="I1914" t="s">
        <v>12</v>
      </c>
      <c r="J1914" t="s">
        <v>12</v>
      </c>
      <c r="K1914" t="s">
        <v>12</v>
      </c>
      <c r="L1914" t="s">
        <v>624</v>
      </c>
      <c r="M1914" t="s">
        <v>868</v>
      </c>
      <c r="O1914">
        <v>21</v>
      </c>
      <c r="FV1914">
        <v>1</v>
      </c>
    </row>
    <row r="1915" spans="1:184" x14ac:dyDescent="0.25">
      <c r="A1915" t="s">
        <v>205</v>
      </c>
      <c r="B1915" t="s">
        <v>136</v>
      </c>
      <c r="C1915" s="3">
        <f t="shared" si="52"/>
        <v>22.984361111111113</v>
      </c>
      <c r="D1915" s="3">
        <f t="shared" si="53"/>
        <v>120.20225000000001</v>
      </c>
      <c r="E1915" t="s">
        <v>15</v>
      </c>
      <c r="F1915" t="s">
        <v>19</v>
      </c>
      <c r="G1915" t="s">
        <v>214</v>
      </c>
      <c r="I1915" t="s">
        <v>12</v>
      </c>
      <c r="J1915" t="s">
        <v>12</v>
      </c>
      <c r="K1915" t="s">
        <v>12</v>
      </c>
      <c r="L1915" t="s">
        <v>624</v>
      </c>
      <c r="M1915" t="s">
        <v>868</v>
      </c>
      <c r="O1915">
        <v>20</v>
      </c>
      <c r="FW1915">
        <v>1</v>
      </c>
    </row>
    <row r="1916" spans="1:184" x14ac:dyDescent="0.25">
      <c r="A1916" t="s">
        <v>205</v>
      </c>
      <c r="B1916" t="s">
        <v>136</v>
      </c>
      <c r="C1916" s="3">
        <f t="shared" si="52"/>
        <v>22.984361111111113</v>
      </c>
      <c r="D1916" s="3">
        <f t="shared" si="53"/>
        <v>120.20225000000001</v>
      </c>
      <c r="E1916" t="s">
        <v>15</v>
      </c>
      <c r="F1916" t="s">
        <v>19</v>
      </c>
      <c r="G1916" t="s">
        <v>214</v>
      </c>
      <c r="I1916" t="s">
        <v>12</v>
      </c>
      <c r="J1916" t="s">
        <v>12</v>
      </c>
      <c r="K1916" t="s">
        <v>12</v>
      </c>
      <c r="L1916" t="s">
        <v>624</v>
      </c>
      <c r="M1916" t="s">
        <v>868</v>
      </c>
      <c r="O1916">
        <v>26</v>
      </c>
      <c r="FX1916">
        <v>1</v>
      </c>
    </row>
    <row r="1917" spans="1:184" x14ac:dyDescent="0.25">
      <c r="A1917" t="s">
        <v>205</v>
      </c>
      <c r="B1917" t="s">
        <v>136</v>
      </c>
      <c r="C1917" s="3">
        <f t="shared" si="52"/>
        <v>22.984361111111113</v>
      </c>
      <c r="D1917" s="3">
        <f t="shared" si="53"/>
        <v>120.20225000000001</v>
      </c>
      <c r="E1917" t="s">
        <v>15</v>
      </c>
      <c r="F1917" t="s">
        <v>19</v>
      </c>
      <c r="G1917" t="s">
        <v>214</v>
      </c>
      <c r="I1917" t="s">
        <v>12</v>
      </c>
      <c r="J1917" t="s">
        <v>12</v>
      </c>
      <c r="K1917" t="s">
        <v>12</v>
      </c>
      <c r="L1917" t="s">
        <v>624</v>
      </c>
      <c r="M1917" t="s">
        <v>868</v>
      </c>
      <c r="O1917">
        <v>41</v>
      </c>
      <c r="FY1917">
        <v>1</v>
      </c>
    </row>
    <row r="1918" spans="1:184" x14ac:dyDescent="0.25">
      <c r="A1918" t="s">
        <v>205</v>
      </c>
      <c r="B1918" t="s">
        <v>136</v>
      </c>
      <c r="C1918" s="3">
        <f t="shared" si="52"/>
        <v>22.984361111111113</v>
      </c>
      <c r="D1918" s="3">
        <f t="shared" si="53"/>
        <v>120.20225000000001</v>
      </c>
      <c r="E1918" t="s">
        <v>15</v>
      </c>
      <c r="F1918" t="s">
        <v>19</v>
      </c>
      <c r="G1918" t="s">
        <v>214</v>
      </c>
      <c r="I1918" t="s">
        <v>12</v>
      </c>
      <c r="J1918" t="s">
        <v>12</v>
      </c>
      <c r="K1918" t="s">
        <v>12</v>
      </c>
      <c r="L1918" t="s">
        <v>624</v>
      </c>
      <c r="M1918" t="s">
        <v>868</v>
      </c>
      <c r="O1918">
        <v>54</v>
      </c>
      <c r="FZ1918">
        <v>1</v>
      </c>
    </row>
    <row r="1919" spans="1:184" x14ac:dyDescent="0.25">
      <c r="A1919" t="s">
        <v>205</v>
      </c>
      <c r="B1919" t="s">
        <v>136</v>
      </c>
      <c r="C1919" s="3">
        <f t="shared" si="52"/>
        <v>22.984361111111113</v>
      </c>
      <c r="D1919" s="3">
        <f t="shared" si="53"/>
        <v>120.20225000000001</v>
      </c>
      <c r="E1919" t="s">
        <v>15</v>
      </c>
      <c r="F1919" t="s">
        <v>19</v>
      </c>
      <c r="G1919" t="s">
        <v>214</v>
      </c>
      <c r="I1919" t="s">
        <v>12</v>
      </c>
      <c r="J1919" t="s">
        <v>12</v>
      </c>
      <c r="K1919" t="s">
        <v>12</v>
      </c>
      <c r="L1919" t="s">
        <v>624</v>
      </c>
      <c r="M1919" t="s">
        <v>868</v>
      </c>
      <c r="O1919">
        <v>52</v>
      </c>
      <c r="GA1919">
        <v>1</v>
      </c>
    </row>
    <row r="1920" spans="1:184" x14ac:dyDescent="0.25">
      <c r="A1920" t="s">
        <v>205</v>
      </c>
      <c r="B1920" t="s">
        <v>136</v>
      </c>
      <c r="C1920" s="3">
        <f t="shared" si="52"/>
        <v>22.984361111111113</v>
      </c>
      <c r="D1920" s="3">
        <f t="shared" si="53"/>
        <v>120.20225000000001</v>
      </c>
      <c r="E1920" t="s">
        <v>15</v>
      </c>
      <c r="F1920" t="s">
        <v>19</v>
      </c>
      <c r="G1920" t="s">
        <v>214</v>
      </c>
      <c r="I1920" t="s">
        <v>12</v>
      </c>
      <c r="J1920" t="s">
        <v>12</v>
      </c>
      <c r="K1920" t="s">
        <v>12</v>
      </c>
      <c r="L1920" t="s">
        <v>624</v>
      </c>
      <c r="M1920" t="s">
        <v>868</v>
      </c>
      <c r="O1920">
        <v>56</v>
      </c>
      <c r="GB1920">
        <v>1</v>
      </c>
    </row>
    <row r="1921" spans="1:174" x14ac:dyDescent="0.25">
      <c r="A1921" t="s">
        <v>205</v>
      </c>
      <c r="B1921" t="s">
        <v>136</v>
      </c>
      <c r="C1921" s="3">
        <v>23.01</v>
      </c>
      <c r="D1921" s="3">
        <v>120.2</v>
      </c>
      <c r="E1921" t="s">
        <v>12</v>
      </c>
      <c r="F1921" t="s">
        <v>8</v>
      </c>
      <c r="G1921" t="s">
        <v>76</v>
      </c>
      <c r="H1921">
        <v>35</v>
      </c>
      <c r="I1921" t="s">
        <v>12</v>
      </c>
      <c r="J1921" t="s">
        <v>15</v>
      </c>
      <c r="K1921" t="s">
        <v>15</v>
      </c>
      <c r="L1921" t="s">
        <v>206</v>
      </c>
      <c r="M1921" t="s">
        <v>1079</v>
      </c>
      <c r="O1921">
        <f>AVERAGE(72.5,62.4)</f>
        <v>67.45</v>
      </c>
      <c r="P1921">
        <f>AVERAGE(38.2,19.4)</f>
        <v>28.8</v>
      </c>
      <c r="CW1921">
        <v>0.5</v>
      </c>
    </row>
    <row r="1922" spans="1:174" x14ac:dyDescent="0.25">
      <c r="A1922" t="s">
        <v>205</v>
      </c>
      <c r="B1922" t="s">
        <v>136</v>
      </c>
      <c r="C1922" s="3">
        <v>23.01</v>
      </c>
      <c r="D1922" s="3">
        <v>120.2</v>
      </c>
      <c r="E1922" t="s">
        <v>12</v>
      </c>
      <c r="F1922" t="s">
        <v>8</v>
      </c>
      <c r="G1922" t="s">
        <v>76</v>
      </c>
      <c r="H1922">
        <v>35</v>
      </c>
      <c r="I1922" t="s">
        <v>12</v>
      </c>
      <c r="J1922" t="s">
        <v>15</v>
      </c>
      <c r="K1922" t="s">
        <v>15</v>
      </c>
      <c r="L1922" t="s">
        <v>206</v>
      </c>
      <c r="M1922" t="s">
        <v>1079</v>
      </c>
      <c r="O1922">
        <f>AVERAGE(52.8,33.2)</f>
        <v>43</v>
      </c>
      <c r="P1922">
        <f>AVERAGE(22.8,19.4)</f>
        <v>21.1</v>
      </c>
      <c r="CY1922">
        <v>0.5</v>
      </c>
    </row>
    <row r="1923" spans="1:174" x14ac:dyDescent="0.25">
      <c r="A1923" t="s">
        <v>134</v>
      </c>
      <c r="B1923" t="s">
        <v>136</v>
      </c>
      <c r="C1923" s="3">
        <v>25.04</v>
      </c>
      <c r="D1923" s="3">
        <v>121.42</v>
      </c>
      <c r="E1923" t="s">
        <v>12</v>
      </c>
      <c r="F1923" t="s">
        <v>8</v>
      </c>
      <c r="G1923" t="s">
        <v>723</v>
      </c>
      <c r="I1923" t="s">
        <v>15</v>
      </c>
      <c r="J1923" t="s">
        <v>15</v>
      </c>
      <c r="K1923" t="s">
        <v>12</v>
      </c>
      <c r="L1923" t="s">
        <v>764</v>
      </c>
      <c r="M1923" t="s">
        <v>823</v>
      </c>
      <c r="O1923">
        <v>30.3</v>
      </c>
      <c r="P1923">
        <v>16</v>
      </c>
      <c r="CY1923">
        <v>1</v>
      </c>
      <c r="CZ1923">
        <v>1</v>
      </c>
      <c r="DA1923">
        <v>1</v>
      </c>
      <c r="DB1923">
        <v>1</v>
      </c>
      <c r="DC1923">
        <v>1</v>
      </c>
      <c r="DD1923">
        <v>1</v>
      </c>
      <c r="DE1923">
        <v>1</v>
      </c>
      <c r="DF1923">
        <v>1</v>
      </c>
      <c r="DG1923">
        <v>1</v>
      </c>
      <c r="DH1923">
        <v>1</v>
      </c>
      <c r="DI1923">
        <v>1</v>
      </c>
      <c r="DJ1923">
        <v>1</v>
      </c>
      <c r="DK1923">
        <v>1</v>
      </c>
      <c r="DL1923">
        <v>1</v>
      </c>
      <c r="DM1923">
        <v>1</v>
      </c>
      <c r="DN1923">
        <v>1</v>
      </c>
      <c r="DO1923">
        <v>1</v>
      </c>
      <c r="DP1923">
        <v>1</v>
      </c>
      <c r="DQ1923">
        <v>1</v>
      </c>
      <c r="DR1923">
        <v>1</v>
      </c>
      <c r="DS1923">
        <v>1</v>
      </c>
      <c r="DT1923">
        <v>1</v>
      </c>
      <c r="DU1923">
        <v>1</v>
      </c>
      <c r="DV1923">
        <v>1</v>
      </c>
      <c r="DW1923">
        <v>1</v>
      </c>
      <c r="DX1923">
        <v>1</v>
      </c>
      <c r="DY1923">
        <v>1</v>
      </c>
      <c r="DZ1923">
        <v>1</v>
      </c>
      <c r="EA1923">
        <v>1</v>
      </c>
      <c r="EB1923">
        <v>1</v>
      </c>
      <c r="EC1923">
        <v>1</v>
      </c>
      <c r="ED1923">
        <v>1</v>
      </c>
      <c r="EE1923">
        <v>1</v>
      </c>
      <c r="EF1923">
        <v>1</v>
      </c>
      <c r="EG1923">
        <v>1</v>
      </c>
      <c r="EH1923">
        <v>1</v>
      </c>
      <c r="EI1923">
        <v>1</v>
      </c>
      <c r="EJ1923">
        <v>1</v>
      </c>
      <c r="EK1923">
        <v>1</v>
      </c>
      <c r="EL1923">
        <v>1</v>
      </c>
      <c r="EM1923">
        <v>1</v>
      </c>
      <c r="EN1923">
        <v>1</v>
      </c>
      <c r="EO1923">
        <v>1</v>
      </c>
      <c r="EP1923">
        <v>1</v>
      </c>
      <c r="EQ1923">
        <v>1</v>
      </c>
      <c r="ER1923">
        <v>1</v>
      </c>
      <c r="ES1923">
        <v>1</v>
      </c>
      <c r="ET1923">
        <v>1</v>
      </c>
      <c r="EU1923">
        <v>1</v>
      </c>
      <c r="EV1923">
        <v>1</v>
      </c>
      <c r="EW1923">
        <v>1</v>
      </c>
      <c r="EX1923">
        <v>1</v>
      </c>
      <c r="EY1923">
        <v>1</v>
      </c>
      <c r="EZ1923">
        <v>1</v>
      </c>
      <c r="FA1923">
        <v>1</v>
      </c>
      <c r="FB1923">
        <v>1</v>
      </c>
      <c r="FC1923">
        <v>1</v>
      </c>
      <c r="FD1923">
        <v>1</v>
      </c>
      <c r="FE1923">
        <v>1</v>
      </c>
      <c r="FF1923">
        <v>1</v>
      </c>
      <c r="FG1923">
        <v>1</v>
      </c>
      <c r="FH1923">
        <v>1</v>
      </c>
      <c r="FI1923">
        <v>1</v>
      </c>
      <c r="FJ1923">
        <v>1</v>
      </c>
      <c r="FK1923">
        <v>1</v>
      </c>
      <c r="FL1923">
        <v>1</v>
      </c>
      <c r="FM1923">
        <v>1</v>
      </c>
      <c r="FN1923">
        <v>1</v>
      </c>
      <c r="FO1923">
        <v>1</v>
      </c>
      <c r="FP1923">
        <v>1</v>
      </c>
      <c r="FQ1923">
        <v>1</v>
      </c>
      <c r="FR1923">
        <v>1</v>
      </c>
    </row>
    <row r="1924" spans="1:174" x14ac:dyDescent="0.25">
      <c r="A1924" t="s">
        <v>134</v>
      </c>
      <c r="B1924" t="s">
        <v>136</v>
      </c>
      <c r="C1924" s="3">
        <v>25.04</v>
      </c>
      <c r="D1924" s="3">
        <v>121.42</v>
      </c>
      <c r="E1924" t="s">
        <v>12</v>
      </c>
      <c r="F1924" t="s">
        <v>77</v>
      </c>
      <c r="G1924" t="s">
        <v>95</v>
      </c>
      <c r="I1924" t="s">
        <v>12</v>
      </c>
      <c r="J1924" t="s">
        <v>12</v>
      </c>
      <c r="K1924" t="s">
        <v>12</v>
      </c>
      <c r="L1924" t="s">
        <v>774</v>
      </c>
      <c r="M1924" t="s">
        <v>829</v>
      </c>
      <c r="O1924">
        <v>23.91</v>
      </c>
      <c r="P1924" t="s">
        <v>773</v>
      </c>
      <c r="AL1924">
        <v>1</v>
      </c>
      <c r="AM1924">
        <v>1</v>
      </c>
      <c r="AN1924">
        <v>1</v>
      </c>
      <c r="AO1924">
        <v>1</v>
      </c>
      <c r="AP1924">
        <v>1</v>
      </c>
      <c r="AQ1924">
        <v>1</v>
      </c>
      <c r="AR1924">
        <v>1</v>
      </c>
      <c r="AS1924">
        <v>1</v>
      </c>
      <c r="AT1924">
        <v>1</v>
      </c>
    </row>
    <row r="1925" spans="1:174" x14ac:dyDescent="0.25">
      <c r="A1925" t="s">
        <v>134</v>
      </c>
      <c r="B1925" t="s">
        <v>136</v>
      </c>
      <c r="C1925" s="3">
        <v>25.04</v>
      </c>
      <c r="D1925" s="3">
        <v>121.42</v>
      </c>
      <c r="E1925" t="s">
        <v>12</v>
      </c>
      <c r="F1925" t="s">
        <v>77</v>
      </c>
      <c r="G1925" t="s">
        <v>97</v>
      </c>
      <c r="I1925" t="s">
        <v>15</v>
      </c>
      <c r="J1925" t="s">
        <v>12</v>
      </c>
      <c r="K1925" t="s">
        <v>12</v>
      </c>
      <c r="L1925" t="s">
        <v>776</v>
      </c>
      <c r="M1925" t="s">
        <v>834</v>
      </c>
      <c r="O1925">
        <v>40.799999999999997</v>
      </c>
      <c r="P1925">
        <v>3</v>
      </c>
      <c r="DI1925">
        <v>1</v>
      </c>
      <c r="DJ1925">
        <v>1</v>
      </c>
      <c r="DK1925">
        <v>1</v>
      </c>
      <c r="DL1925">
        <v>1</v>
      </c>
      <c r="DM1925">
        <v>1</v>
      </c>
      <c r="DN1925">
        <v>1</v>
      </c>
      <c r="DO1925">
        <v>1</v>
      </c>
      <c r="DP1925">
        <v>1</v>
      </c>
      <c r="DQ1925">
        <v>1</v>
      </c>
      <c r="DR1925">
        <v>1</v>
      </c>
      <c r="DS1925">
        <v>1</v>
      </c>
      <c r="DT1925">
        <v>1</v>
      </c>
    </row>
    <row r="1926" spans="1:174" x14ac:dyDescent="0.25">
      <c r="A1926" t="s">
        <v>134</v>
      </c>
      <c r="B1926" t="s">
        <v>136</v>
      </c>
      <c r="C1926" s="3">
        <v>25.04</v>
      </c>
      <c r="D1926" s="3">
        <v>121.42</v>
      </c>
      <c r="E1926" t="s">
        <v>12</v>
      </c>
      <c r="F1926" t="s">
        <v>77</v>
      </c>
      <c r="G1926" t="s">
        <v>97</v>
      </c>
      <c r="I1926" t="s">
        <v>15</v>
      </c>
      <c r="J1926" t="s">
        <v>12</v>
      </c>
      <c r="K1926" t="s">
        <v>12</v>
      </c>
      <c r="L1926" t="s">
        <v>776</v>
      </c>
      <c r="M1926" t="s">
        <v>834</v>
      </c>
      <c r="O1926">
        <v>38</v>
      </c>
      <c r="P1926">
        <v>4.0999999999999996</v>
      </c>
      <c r="DU1926">
        <v>1</v>
      </c>
      <c r="DV1926">
        <v>1</v>
      </c>
      <c r="DW1926">
        <v>1</v>
      </c>
      <c r="DX1926">
        <v>1</v>
      </c>
      <c r="DY1926">
        <v>1</v>
      </c>
      <c r="DZ1926">
        <v>1</v>
      </c>
      <c r="EA1926">
        <v>1</v>
      </c>
      <c r="EB1926">
        <v>1</v>
      </c>
      <c r="EC1926">
        <v>1</v>
      </c>
      <c r="ED1926">
        <v>1</v>
      </c>
      <c r="EE1926">
        <v>1</v>
      </c>
      <c r="EF1926">
        <v>1</v>
      </c>
    </row>
    <row r="1927" spans="1:174" x14ac:dyDescent="0.25">
      <c r="A1927" t="s">
        <v>134</v>
      </c>
      <c r="B1927" t="s">
        <v>136</v>
      </c>
      <c r="C1927" s="3">
        <v>25.04</v>
      </c>
      <c r="D1927" s="3">
        <v>121.42</v>
      </c>
      <c r="E1927" t="s">
        <v>12</v>
      </c>
      <c r="F1927" t="s">
        <v>77</v>
      </c>
      <c r="G1927" t="s">
        <v>97</v>
      </c>
      <c r="I1927" t="s">
        <v>15</v>
      </c>
      <c r="J1927" t="s">
        <v>12</v>
      </c>
      <c r="K1927" t="s">
        <v>12</v>
      </c>
      <c r="L1927" t="s">
        <v>776</v>
      </c>
      <c r="M1927" t="s">
        <v>834</v>
      </c>
      <c r="O1927">
        <v>48.4</v>
      </c>
      <c r="P1927">
        <v>7.2</v>
      </c>
      <c r="EG1927">
        <v>1</v>
      </c>
      <c r="EH1927">
        <v>1</v>
      </c>
      <c r="EI1927">
        <v>1</v>
      </c>
      <c r="EJ1927">
        <v>1</v>
      </c>
      <c r="EK1927">
        <v>1</v>
      </c>
      <c r="EL1927">
        <v>1</v>
      </c>
      <c r="EM1927">
        <v>1</v>
      </c>
      <c r="EN1927">
        <v>1</v>
      </c>
      <c r="EO1927">
        <v>1</v>
      </c>
      <c r="EP1927">
        <v>1</v>
      </c>
      <c r="EQ1927">
        <v>1</v>
      </c>
      <c r="ER1927">
        <v>1</v>
      </c>
    </row>
    <row r="1928" spans="1:174" x14ac:dyDescent="0.25">
      <c r="A1928" t="s">
        <v>134</v>
      </c>
      <c r="B1928" t="s">
        <v>136</v>
      </c>
      <c r="C1928" s="3">
        <v>25.04</v>
      </c>
      <c r="D1928" s="3">
        <v>121.42</v>
      </c>
      <c r="E1928" t="s">
        <v>12</v>
      </c>
      <c r="F1928" t="s">
        <v>77</v>
      </c>
      <c r="G1928" t="s">
        <v>97</v>
      </c>
      <c r="I1928" t="s">
        <v>15</v>
      </c>
      <c r="J1928" t="s">
        <v>12</v>
      </c>
      <c r="K1928" t="s">
        <v>12</v>
      </c>
      <c r="L1928" t="s">
        <v>776</v>
      </c>
      <c r="M1928" t="s">
        <v>834</v>
      </c>
      <c r="O1928">
        <v>40.9</v>
      </c>
      <c r="P1928">
        <v>3.3</v>
      </c>
      <c r="ES1928">
        <v>1</v>
      </c>
      <c r="ET1928">
        <v>1</v>
      </c>
      <c r="EU1928">
        <v>1</v>
      </c>
      <c r="EV1928">
        <v>1</v>
      </c>
      <c r="EW1928">
        <v>1</v>
      </c>
      <c r="EX1928">
        <v>1</v>
      </c>
      <c r="EY1928">
        <v>1</v>
      </c>
      <c r="EZ1928">
        <v>1</v>
      </c>
      <c r="FA1928">
        <v>1</v>
      </c>
      <c r="FB1928">
        <v>1</v>
      </c>
      <c r="FC1928">
        <v>1</v>
      </c>
      <c r="FD1928">
        <v>1</v>
      </c>
    </row>
    <row r="1929" spans="1:174" x14ac:dyDescent="0.25">
      <c r="A1929" t="s">
        <v>134</v>
      </c>
      <c r="B1929" t="s">
        <v>136</v>
      </c>
      <c r="C1929" s="3">
        <v>25.04</v>
      </c>
      <c r="D1929" s="3">
        <v>121.42</v>
      </c>
      <c r="E1929" t="s">
        <v>12</v>
      </c>
      <c r="F1929" t="s">
        <v>77</v>
      </c>
      <c r="G1929" t="s">
        <v>97</v>
      </c>
      <c r="I1929" t="s">
        <v>15</v>
      </c>
      <c r="J1929" t="s">
        <v>12</v>
      </c>
      <c r="K1929" t="s">
        <v>12</v>
      </c>
      <c r="L1929" t="s">
        <v>776</v>
      </c>
      <c r="M1929" t="s">
        <v>834</v>
      </c>
      <c r="O1929">
        <v>39.799999999999997</v>
      </c>
      <c r="P1929">
        <v>2.1</v>
      </c>
      <c r="FE1929">
        <v>1</v>
      </c>
      <c r="FF1929">
        <v>1</v>
      </c>
      <c r="FG1929">
        <v>1</v>
      </c>
      <c r="FH1929">
        <v>1</v>
      </c>
      <c r="FI1929">
        <v>1</v>
      </c>
      <c r="FJ1929">
        <v>1</v>
      </c>
      <c r="FK1929">
        <v>1</v>
      </c>
      <c r="FL1929">
        <v>1</v>
      </c>
      <c r="FM1929">
        <v>1</v>
      </c>
      <c r="FN1929">
        <v>1</v>
      </c>
      <c r="FO1929">
        <v>1</v>
      </c>
      <c r="FP1929">
        <v>1</v>
      </c>
    </row>
    <row r="1930" spans="1:174" x14ac:dyDescent="0.25">
      <c r="A1930" t="s">
        <v>134</v>
      </c>
      <c r="B1930" t="s">
        <v>136</v>
      </c>
      <c r="C1930" s="3">
        <v>25.04</v>
      </c>
      <c r="D1930" s="3">
        <v>121.51600000000001</v>
      </c>
      <c r="E1930" t="s">
        <v>12</v>
      </c>
      <c r="F1930" t="s">
        <v>77</v>
      </c>
      <c r="G1930" t="s">
        <v>106</v>
      </c>
      <c r="H1930">
        <v>35</v>
      </c>
      <c r="I1930" t="s">
        <v>12</v>
      </c>
      <c r="J1930" t="s">
        <v>12</v>
      </c>
      <c r="K1930" t="s">
        <v>15</v>
      </c>
      <c r="L1930" t="s">
        <v>135</v>
      </c>
      <c r="M1930" t="s">
        <v>909</v>
      </c>
      <c r="O1930">
        <v>24</v>
      </c>
      <c r="P1930">
        <v>15</v>
      </c>
      <c r="CX1930">
        <v>1</v>
      </c>
      <c r="CY1930">
        <v>1</v>
      </c>
      <c r="CZ1930">
        <v>1</v>
      </c>
      <c r="DA1930">
        <v>1</v>
      </c>
    </row>
    <row r="1931" spans="1:174" x14ac:dyDescent="0.25">
      <c r="A1931" t="s">
        <v>623</v>
      </c>
      <c r="B1931" t="s">
        <v>136</v>
      </c>
      <c r="C1931" s="3">
        <f t="shared" ref="C1931:C1966" si="54">22+45/60+19.3/3600</f>
        <v>22.75536111111111</v>
      </c>
      <c r="D1931" s="3">
        <f t="shared" ref="D1931:D1966" si="55">121+9/60+1.62/3600</f>
        <v>121.15045000000001</v>
      </c>
      <c r="E1931" t="s">
        <v>15</v>
      </c>
      <c r="F1931" t="s">
        <v>19</v>
      </c>
      <c r="G1931" t="s">
        <v>214</v>
      </c>
      <c r="I1931" t="s">
        <v>12</v>
      </c>
      <c r="J1931" t="s">
        <v>12</v>
      </c>
      <c r="K1931" t="s">
        <v>12</v>
      </c>
      <c r="L1931" t="s">
        <v>624</v>
      </c>
      <c r="M1931" t="s">
        <v>868</v>
      </c>
      <c r="O1931">
        <v>12</v>
      </c>
      <c r="ES1931">
        <v>1</v>
      </c>
    </row>
    <row r="1932" spans="1:174" x14ac:dyDescent="0.25">
      <c r="A1932" t="s">
        <v>623</v>
      </c>
      <c r="B1932" t="s">
        <v>136</v>
      </c>
      <c r="C1932" s="3">
        <f t="shared" si="54"/>
        <v>22.75536111111111</v>
      </c>
      <c r="D1932" s="3">
        <f t="shared" si="55"/>
        <v>121.15045000000001</v>
      </c>
      <c r="E1932" t="s">
        <v>15</v>
      </c>
      <c r="F1932" t="s">
        <v>19</v>
      </c>
      <c r="G1932" t="s">
        <v>214</v>
      </c>
      <c r="I1932" t="s">
        <v>12</v>
      </c>
      <c r="J1932" t="s">
        <v>12</v>
      </c>
      <c r="K1932" t="s">
        <v>12</v>
      </c>
      <c r="L1932" t="s">
        <v>624</v>
      </c>
      <c r="M1932" t="s">
        <v>868</v>
      </c>
      <c r="O1932">
        <v>12</v>
      </c>
      <c r="ET1932">
        <v>1</v>
      </c>
    </row>
    <row r="1933" spans="1:174" x14ac:dyDescent="0.25">
      <c r="A1933" t="s">
        <v>623</v>
      </c>
      <c r="B1933" t="s">
        <v>136</v>
      </c>
      <c r="C1933" s="3">
        <f t="shared" si="54"/>
        <v>22.75536111111111</v>
      </c>
      <c r="D1933" s="3">
        <f t="shared" si="55"/>
        <v>121.15045000000001</v>
      </c>
      <c r="E1933" t="s">
        <v>15</v>
      </c>
      <c r="F1933" t="s">
        <v>19</v>
      </c>
      <c r="G1933" t="s">
        <v>214</v>
      </c>
      <c r="I1933" t="s">
        <v>12</v>
      </c>
      <c r="J1933" t="s">
        <v>12</v>
      </c>
      <c r="K1933" t="s">
        <v>12</v>
      </c>
      <c r="L1933" t="s">
        <v>624</v>
      </c>
      <c r="M1933" t="s">
        <v>868</v>
      </c>
      <c r="O1933">
        <v>20</v>
      </c>
      <c r="EU1933">
        <v>1</v>
      </c>
    </row>
    <row r="1934" spans="1:174" x14ac:dyDescent="0.25">
      <c r="A1934" t="s">
        <v>623</v>
      </c>
      <c r="B1934" t="s">
        <v>136</v>
      </c>
      <c r="C1934" s="3">
        <f t="shared" si="54"/>
        <v>22.75536111111111</v>
      </c>
      <c r="D1934" s="3">
        <f t="shared" si="55"/>
        <v>121.15045000000001</v>
      </c>
      <c r="E1934" t="s">
        <v>15</v>
      </c>
      <c r="F1934" t="s">
        <v>19</v>
      </c>
      <c r="G1934" t="s">
        <v>214</v>
      </c>
      <c r="I1934" t="s">
        <v>12</v>
      </c>
      <c r="J1934" t="s">
        <v>12</v>
      </c>
      <c r="K1934" t="s">
        <v>12</v>
      </c>
      <c r="L1934" t="s">
        <v>624</v>
      </c>
      <c r="M1934" t="s">
        <v>868</v>
      </c>
      <c r="O1934">
        <v>16</v>
      </c>
      <c r="EV1934">
        <v>1</v>
      </c>
    </row>
    <row r="1935" spans="1:174" x14ac:dyDescent="0.25">
      <c r="A1935" t="s">
        <v>623</v>
      </c>
      <c r="B1935" t="s">
        <v>136</v>
      </c>
      <c r="C1935" s="3">
        <f t="shared" si="54"/>
        <v>22.75536111111111</v>
      </c>
      <c r="D1935" s="3">
        <f t="shared" si="55"/>
        <v>121.15045000000001</v>
      </c>
      <c r="E1935" t="s">
        <v>15</v>
      </c>
      <c r="F1935" t="s">
        <v>19</v>
      </c>
      <c r="G1935" t="s">
        <v>214</v>
      </c>
      <c r="I1935" t="s">
        <v>12</v>
      </c>
      <c r="J1935" t="s">
        <v>12</v>
      </c>
      <c r="K1935" t="s">
        <v>12</v>
      </c>
      <c r="L1935" t="s">
        <v>624</v>
      </c>
      <c r="M1935" t="s">
        <v>868</v>
      </c>
      <c r="O1935">
        <v>14</v>
      </c>
      <c r="EW1935">
        <v>1</v>
      </c>
    </row>
    <row r="1936" spans="1:174" x14ac:dyDescent="0.25">
      <c r="A1936" t="s">
        <v>623</v>
      </c>
      <c r="B1936" t="s">
        <v>136</v>
      </c>
      <c r="C1936" s="3">
        <f t="shared" si="54"/>
        <v>22.75536111111111</v>
      </c>
      <c r="D1936" s="3">
        <f t="shared" si="55"/>
        <v>121.15045000000001</v>
      </c>
      <c r="E1936" t="s">
        <v>15</v>
      </c>
      <c r="F1936" t="s">
        <v>19</v>
      </c>
      <c r="G1936" t="s">
        <v>214</v>
      </c>
      <c r="I1936" t="s">
        <v>12</v>
      </c>
      <c r="J1936" t="s">
        <v>12</v>
      </c>
      <c r="K1936" t="s">
        <v>12</v>
      </c>
      <c r="L1936" t="s">
        <v>624</v>
      </c>
      <c r="M1936" t="s">
        <v>868</v>
      </c>
      <c r="O1936">
        <v>9</v>
      </c>
      <c r="EX1936">
        <v>1</v>
      </c>
    </row>
    <row r="1937" spans="1:170" x14ac:dyDescent="0.25">
      <c r="A1937" t="s">
        <v>623</v>
      </c>
      <c r="B1937" t="s">
        <v>136</v>
      </c>
      <c r="C1937" s="3">
        <f t="shared" si="54"/>
        <v>22.75536111111111</v>
      </c>
      <c r="D1937" s="3">
        <f t="shared" si="55"/>
        <v>121.15045000000001</v>
      </c>
      <c r="E1937" t="s">
        <v>15</v>
      </c>
      <c r="F1937" t="s">
        <v>19</v>
      </c>
      <c r="G1937" t="s">
        <v>214</v>
      </c>
      <c r="I1937" t="s">
        <v>12</v>
      </c>
      <c r="J1937" t="s">
        <v>12</v>
      </c>
      <c r="K1937" t="s">
        <v>12</v>
      </c>
      <c r="L1937" t="s">
        <v>624</v>
      </c>
      <c r="M1937" t="s">
        <v>868</v>
      </c>
      <c r="O1937">
        <v>8</v>
      </c>
      <c r="EY1937">
        <v>1</v>
      </c>
    </row>
    <row r="1938" spans="1:170" x14ac:dyDescent="0.25">
      <c r="A1938" t="s">
        <v>623</v>
      </c>
      <c r="B1938" t="s">
        <v>136</v>
      </c>
      <c r="C1938" s="3">
        <f t="shared" si="54"/>
        <v>22.75536111111111</v>
      </c>
      <c r="D1938" s="3">
        <f t="shared" si="55"/>
        <v>121.15045000000001</v>
      </c>
      <c r="E1938" t="s">
        <v>15</v>
      </c>
      <c r="F1938" t="s">
        <v>19</v>
      </c>
      <c r="G1938" t="s">
        <v>214</v>
      </c>
      <c r="I1938" t="s">
        <v>12</v>
      </c>
      <c r="J1938" t="s">
        <v>12</v>
      </c>
      <c r="K1938" t="s">
        <v>12</v>
      </c>
      <c r="L1938" t="s">
        <v>624</v>
      </c>
      <c r="M1938" t="s">
        <v>868</v>
      </c>
      <c r="O1938">
        <v>13</v>
      </c>
      <c r="EZ1938">
        <v>1</v>
      </c>
    </row>
    <row r="1939" spans="1:170" x14ac:dyDescent="0.25">
      <c r="A1939" t="s">
        <v>623</v>
      </c>
      <c r="B1939" t="s">
        <v>136</v>
      </c>
      <c r="C1939" s="3">
        <f t="shared" si="54"/>
        <v>22.75536111111111</v>
      </c>
      <c r="D1939" s="3">
        <f t="shared" si="55"/>
        <v>121.15045000000001</v>
      </c>
      <c r="E1939" t="s">
        <v>15</v>
      </c>
      <c r="F1939" t="s">
        <v>19</v>
      </c>
      <c r="G1939" t="s">
        <v>214</v>
      </c>
      <c r="I1939" t="s">
        <v>12</v>
      </c>
      <c r="J1939" t="s">
        <v>12</v>
      </c>
      <c r="K1939" t="s">
        <v>12</v>
      </c>
      <c r="L1939" t="s">
        <v>624</v>
      </c>
      <c r="M1939" t="s">
        <v>868</v>
      </c>
      <c r="O1939">
        <v>15</v>
      </c>
      <c r="FA1939">
        <v>1</v>
      </c>
    </row>
    <row r="1940" spans="1:170" x14ac:dyDescent="0.25">
      <c r="A1940" t="s">
        <v>623</v>
      </c>
      <c r="B1940" t="s">
        <v>136</v>
      </c>
      <c r="C1940" s="3">
        <f t="shared" si="54"/>
        <v>22.75536111111111</v>
      </c>
      <c r="D1940" s="3">
        <f t="shared" si="55"/>
        <v>121.15045000000001</v>
      </c>
      <c r="E1940" t="s">
        <v>15</v>
      </c>
      <c r="F1940" t="s">
        <v>19</v>
      </c>
      <c r="G1940" t="s">
        <v>214</v>
      </c>
      <c r="I1940" t="s">
        <v>12</v>
      </c>
      <c r="J1940" t="s">
        <v>12</v>
      </c>
      <c r="K1940" t="s">
        <v>12</v>
      </c>
      <c r="L1940" t="s">
        <v>624</v>
      </c>
      <c r="M1940" t="s">
        <v>868</v>
      </c>
      <c r="O1940">
        <v>23</v>
      </c>
      <c r="FB1940">
        <v>1</v>
      </c>
    </row>
    <row r="1941" spans="1:170" x14ac:dyDescent="0.25">
      <c r="A1941" t="s">
        <v>623</v>
      </c>
      <c r="B1941" t="s">
        <v>136</v>
      </c>
      <c r="C1941" s="3">
        <f t="shared" si="54"/>
        <v>22.75536111111111</v>
      </c>
      <c r="D1941" s="3">
        <f t="shared" si="55"/>
        <v>121.15045000000001</v>
      </c>
      <c r="E1941" t="s">
        <v>15</v>
      </c>
      <c r="F1941" t="s">
        <v>19</v>
      </c>
      <c r="G1941" t="s">
        <v>214</v>
      </c>
      <c r="I1941" t="s">
        <v>12</v>
      </c>
      <c r="J1941" t="s">
        <v>12</v>
      </c>
      <c r="K1941" t="s">
        <v>12</v>
      </c>
      <c r="L1941" t="s">
        <v>624</v>
      </c>
      <c r="M1941" t="s">
        <v>868</v>
      </c>
      <c r="O1941">
        <v>20</v>
      </c>
      <c r="FC1941">
        <v>1</v>
      </c>
    </row>
    <row r="1942" spans="1:170" x14ac:dyDescent="0.25">
      <c r="A1942" t="s">
        <v>623</v>
      </c>
      <c r="B1942" t="s">
        <v>136</v>
      </c>
      <c r="C1942" s="3">
        <f t="shared" si="54"/>
        <v>22.75536111111111</v>
      </c>
      <c r="D1942" s="3">
        <f t="shared" si="55"/>
        <v>121.15045000000001</v>
      </c>
      <c r="E1942" t="s">
        <v>15</v>
      </c>
      <c r="F1942" t="s">
        <v>19</v>
      </c>
      <c r="G1942" t="s">
        <v>214</v>
      </c>
      <c r="I1942" t="s">
        <v>12</v>
      </c>
      <c r="J1942" t="s">
        <v>12</v>
      </c>
      <c r="K1942" t="s">
        <v>12</v>
      </c>
      <c r="L1942" t="s">
        <v>624</v>
      </c>
      <c r="M1942" t="s">
        <v>868</v>
      </c>
      <c r="O1942">
        <v>15</v>
      </c>
      <c r="FD1942">
        <v>1</v>
      </c>
    </row>
    <row r="1943" spans="1:170" x14ac:dyDescent="0.25">
      <c r="A1943" t="s">
        <v>623</v>
      </c>
      <c r="B1943" t="s">
        <v>136</v>
      </c>
      <c r="C1943" s="3">
        <f t="shared" si="54"/>
        <v>22.75536111111111</v>
      </c>
      <c r="D1943" s="3">
        <f t="shared" si="55"/>
        <v>121.15045000000001</v>
      </c>
      <c r="E1943" t="s">
        <v>15</v>
      </c>
      <c r="F1943" t="s">
        <v>19</v>
      </c>
      <c r="G1943" t="s">
        <v>214</v>
      </c>
      <c r="I1943" t="s">
        <v>12</v>
      </c>
      <c r="J1943" t="s">
        <v>12</v>
      </c>
      <c r="K1943" t="s">
        <v>12</v>
      </c>
      <c r="L1943" t="s">
        <v>624</v>
      </c>
      <c r="M1943" t="s">
        <v>868</v>
      </c>
      <c r="O1943">
        <v>18</v>
      </c>
      <c r="FE1943">
        <v>1</v>
      </c>
    </row>
    <row r="1944" spans="1:170" x14ac:dyDescent="0.25">
      <c r="A1944" t="s">
        <v>623</v>
      </c>
      <c r="B1944" t="s">
        <v>136</v>
      </c>
      <c r="C1944" s="3">
        <f t="shared" si="54"/>
        <v>22.75536111111111</v>
      </c>
      <c r="D1944" s="3">
        <f t="shared" si="55"/>
        <v>121.15045000000001</v>
      </c>
      <c r="E1944" t="s">
        <v>15</v>
      </c>
      <c r="F1944" t="s">
        <v>19</v>
      </c>
      <c r="G1944" t="s">
        <v>214</v>
      </c>
      <c r="I1944" t="s">
        <v>12</v>
      </c>
      <c r="J1944" t="s">
        <v>12</v>
      </c>
      <c r="K1944" t="s">
        <v>12</v>
      </c>
      <c r="L1944" t="s">
        <v>624</v>
      </c>
      <c r="M1944" t="s">
        <v>868</v>
      </c>
      <c r="O1944">
        <v>21</v>
      </c>
      <c r="FF1944">
        <v>1</v>
      </c>
    </row>
    <row r="1945" spans="1:170" x14ac:dyDescent="0.25">
      <c r="A1945" t="s">
        <v>623</v>
      </c>
      <c r="B1945" t="s">
        <v>136</v>
      </c>
      <c r="C1945" s="3">
        <f t="shared" si="54"/>
        <v>22.75536111111111</v>
      </c>
      <c r="D1945" s="3">
        <f t="shared" si="55"/>
        <v>121.15045000000001</v>
      </c>
      <c r="E1945" t="s">
        <v>15</v>
      </c>
      <c r="F1945" t="s">
        <v>19</v>
      </c>
      <c r="G1945" t="s">
        <v>214</v>
      </c>
      <c r="I1945" t="s">
        <v>12</v>
      </c>
      <c r="J1945" t="s">
        <v>12</v>
      </c>
      <c r="K1945" t="s">
        <v>12</v>
      </c>
      <c r="L1945" t="s">
        <v>624</v>
      </c>
      <c r="M1945" t="s">
        <v>868</v>
      </c>
      <c r="O1945">
        <v>15</v>
      </c>
      <c r="FG1945">
        <v>1</v>
      </c>
    </row>
    <row r="1946" spans="1:170" x14ac:dyDescent="0.25">
      <c r="A1946" t="s">
        <v>623</v>
      </c>
      <c r="B1946" t="s">
        <v>136</v>
      </c>
      <c r="C1946" s="3">
        <f t="shared" si="54"/>
        <v>22.75536111111111</v>
      </c>
      <c r="D1946" s="3">
        <f t="shared" si="55"/>
        <v>121.15045000000001</v>
      </c>
      <c r="E1946" t="s">
        <v>15</v>
      </c>
      <c r="F1946" t="s">
        <v>19</v>
      </c>
      <c r="G1946" t="s">
        <v>214</v>
      </c>
      <c r="I1946" t="s">
        <v>12</v>
      </c>
      <c r="J1946" t="s">
        <v>12</v>
      </c>
      <c r="K1946" t="s">
        <v>12</v>
      </c>
      <c r="L1946" t="s">
        <v>624</v>
      </c>
      <c r="M1946" t="s">
        <v>868</v>
      </c>
      <c r="O1946">
        <v>17</v>
      </c>
      <c r="FH1946">
        <v>1</v>
      </c>
    </row>
    <row r="1947" spans="1:170" x14ac:dyDescent="0.25">
      <c r="A1947" t="s">
        <v>623</v>
      </c>
      <c r="B1947" t="s">
        <v>136</v>
      </c>
      <c r="C1947" s="3">
        <f t="shared" si="54"/>
        <v>22.75536111111111</v>
      </c>
      <c r="D1947" s="3">
        <f t="shared" si="55"/>
        <v>121.15045000000001</v>
      </c>
      <c r="E1947" t="s">
        <v>15</v>
      </c>
      <c r="F1947" t="s">
        <v>19</v>
      </c>
      <c r="G1947" t="s">
        <v>214</v>
      </c>
      <c r="I1947" t="s">
        <v>12</v>
      </c>
      <c r="J1947" t="s">
        <v>12</v>
      </c>
      <c r="K1947" t="s">
        <v>12</v>
      </c>
      <c r="L1947" t="s">
        <v>624</v>
      </c>
      <c r="M1947" t="s">
        <v>868</v>
      </c>
      <c r="O1947">
        <v>19</v>
      </c>
      <c r="FI1947">
        <v>1</v>
      </c>
    </row>
    <row r="1948" spans="1:170" x14ac:dyDescent="0.25">
      <c r="A1948" t="s">
        <v>623</v>
      </c>
      <c r="B1948" t="s">
        <v>136</v>
      </c>
      <c r="C1948" s="3">
        <f t="shared" si="54"/>
        <v>22.75536111111111</v>
      </c>
      <c r="D1948" s="3">
        <f t="shared" si="55"/>
        <v>121.15045000000001</v>
      </c>
      <c r="E1948" t="s">
        <v>15</v>
      </c>
      <c r="F1948" t="s">
        <v>19</v>
      </c>
      <c r="G1948" t="s">
        <v>214</v>
      </c>
      <c r="I1948" t="s">
        <v>12</v>
      </c>
      <c r="J1948" t="s">
        <v>12</v>
      </c>
      <c r="K1948" t="s">
        <v>12</v>
      </c>
      <c r="L1948" t="s">
        <v>624</v>
      </c>
      <c r="M1948" t="s">
        <v>868</v>
      </c>
      <c r="O1948">
        <v>8</v>
      </c>
      <c r="FJ1948">
        <v>1</v>
      </c>
    </row>
    <row r="1949" spans="1:170" x14ac:dyDescent="0.25">
      <c r="A1949" t="s">
        <v>623</v>
      </c>
      <c r="B1949" t="s">
        <v>136</v>
      </c>
      <c r="C1949" s="3">
        <f t="shared" si="54"/>
        <v>22.75536111111111</v>
      </c>
      <c r="D1949" s="3">
        <f t="shared" si="55"/>
        <v>121.15045000000001</v>
      </c>
      <c r="E1949" t="s">
        <v>15</v>
      </c>
      <c r="F1949" t="s">
        <v>19</v>
      </c>
      <c r="G1949" t="s">
        <v>214</v>
      </c>
      <c r="I1949" t="s">
        <v>12</v>
      </c>
      <c r="J1949" t="s">
        <v>12</v>
      </c>
      <c r="K1949" t="s">
        <v>12</v>
      </c>
      <c r="L1949" t="s">
        <v>624</v>
      </c>
      <c r="M1949" t="s">
        <v>868</v>
      </c>
      <c r="O1949">
        <v>13</v>
      </c>
      <c r="FK1949">
        <v>1</v>
      </c>
    </row>
    <row r="1950" spans="1:170" x14ac:dyDescent="0.25">
      <c r="A1950" t="s">
        <v>623</v>
      </c>
      <c r="B1950" t="s">
        <v>136</v>
      </c>
      <c r="C1950" s="3">
        <f t="shared" si="54"/>
        <v>22.75536111111111</v>
      </c>
      <c r="D1950" s="3">
        <f t="shared" si="55"/>
        <v>121.15045000000001</v>
      </c>
      <c r="E1950" t="s">
        <v>15</v>
      </c>
      <c r="F1950" t="s">
        <v>19</v>
      </c>
      <c r="G1950" t="s">
        <v>214</v>
      </c>
      <c r="I1950" t="s">
        <v>12</v>
      </c>
      <c r="J1950" t="s">
        <v>12</v>
      </c>
      <c r="K1950" t="s">
        <v>12</v>
      </c>
      <c r="L1950" t="s">
        <v>624</v>
      </c>
      <c r="M1950" t="s">
        <v>868</v>
      </c>
      <c r="O1950">
        <v>10</v>
      </c>
      <c r="FL1950">
        <v>1</v>
      </c>
    </row>
    <row r="1951" spans="1:170" x14ac:dyDescent="0.25">
      <c r="A1951" t="s">
        <v>623</v>
      </c>
      <c r="B1951" t="s">
        <v>136</v>
      </c>
      <c r="C1951" s="3">
        <f t="shared" si="54"/>
        <v>22.75536111111111</v>
      </c>
      <c r="D1951" s="3">
        <f t="shared" si="55"/>
        <v>121.15045000000001</v>
      </c>
      <c r="E1951" t="s">
        <v>15</v>
      </c>
      <c r="F1951" t="s">
        <v>19</v>
      </c>
      <c r="G1951" t="s">
        <v>214</v>
      </c>
      <c r="I1951" t="s">
        <v>12</v>
      </c>
      <c r="J1951" t="s">
        <v>12</v>
      </c>
      <c r="K1951" t="s">
        <v>12</v>
      </c>
      <c r="L1951" t="s">
        <v>624</v>
      </c>
      <c r="M1951" t="s">
        <v>868</v>
      </c>
      <c r="O1951">
        <v>17</v>
      </c>
      <c r="FM1951">
        <v>1</v>
      </c>
    </row>
    <row r="1952" spans="1:170" x14ac:dyDescent="0.25">
      <c r="A1952" t="s">
        <v>623</v>
      </c>
      <c r="B1952" t="s">
        <v>136</v>
      </c>
      <c r="C1952" s="3">
        <f t="shared" si="54"/>
        <v>22.75536111111111</v>
      </c>
      <c r="D1952" s="3">
        <f t="shared" si="55"/>
        <v>121.15045000000001</v>
      </c>
      <c r="E1952" t="s">
        <v>15</v>
      </c>
      <c r="F1952" t="s">
        <v>19</v>
      </c>
      <c r="G1952" t="s">
        <v>214</v>
      </c>
      <c r="I1952" t="s">
        <v>12</v>
      </c>
      <c r="J1952" t="s">
        <v>12</v>
      </c>
      <c r="K1952" t="s">
        <v>12</v>
      </c>
      <c r="L1952" t="s">
        <v>624</v>
      </c>
      <c r="M1952" t="s">
        <v>868</v>
      </c>
      <c r="O1952">
        <v>17</v>
      </c>
      <c r="FN1952">
        <v>1</v>
      </c>
    </row>
    <row r="1953" spans="1:184" x14ac:dyDescent="0.25">
      <c r="A1953" t="s">
        <v>623</v>
      </c>
      <c r="B1953" t="s">
        <v>136</v>
      </c>
      <c r="C1953" s="3">
        <f t="shared" si="54"/>
        <v>22.75536111111111</v>
      </c>
      <c r="D1953" s="3">
        <f t="shared" si="55"/>
        <v>121.15045000000001</v>
      </c>
      <c r="E1953" t="s">
        <v>15</v>
      </c>
      <c r="F1953" t="s">
        <v>19</v>
      </c>
      <c r="G1953" t="s">
        <v>214</v>
      </c>
      <c r="I1953" t="s">
        <v>12</v>
      </c>
      <c r="J1953" t="s">
        <v>12</v>
      </c>
      <c r="K1953" t="s">
        <v>12</v>
      </c>
      <c r="L1953" t="s">
        <v>624</v>
      </c>
      <c r="M1953" t="s">
        <v>868</v>
      </c>
      <c r="O1953">
        <v>14</v>
      </c>
      <c r="FO1953">
        <v>1</v>
      </c>
    </row>
    <row r="1954" spans="1:184" x14ac:dyDescent="0.25">
      <c r="A1954" t="s">
        <v>623</v>
      </c>
      <c r="B1954" t="s">
        <v>136</v>
      </c>
      <c r="C1954" s="3">
        <f t="shared" si="54"/>
        <v>22.75536111111111</v>
      </c>
      <c r="D1954" s="3">
        <f t="shared" si="55"/>
        <v>121.15045000000001</v>
      </c>
      <c r="E1954" t="s">
        <v>15</v>
      </c>
      <c r="F1954" t="s">
        <v>19</v>
      </c>
      <c r="G1954" t="s">
        <v>214</v>
      </c>
      <c r="I1954" t="s">
        <v>12</v>
      </c>
      <c r="J1954" t="s">
        <v>12</v>
      </c>
      <c r="K1954" t="s">
        <v>12</v>
      </c>
      <c r="L1954" t="s">
        <v>624</v>
      </c>
      <c r="M1954" t="s">
        <v>868</v>
      </c>
      <c r="O1954">
        <v>22</v>
      </c>
      <c r="FP1954">
        <v>1</v>
      </c>
    </row>
    <row r="1955" spans="1:184" x14ac:dyDescent="0.25">
      <c r="A1955" t="s">
        <v>623</v>
      </c>
      <c r="B1955" t="s">
        <v>136</v>
      </c>
      <c r="C1955" s="3">
        <f t="shared" si="54"/>
        <v>22.75536111111111</v>
      </c>
      <c r="D1955" s="3">
        <f t="shared" si="55"/>
        <v>121.15045000000001</v>
      </c>
      <c r="E1955" t="s">
        <v>15</v>
      </c>
      <c r="F1955" t="s">
        <v>19</v>
      </c>
      <c r="G1955" t="s">
        <v>214</v>
      </c>
      <c r="I1955" t="s">
        <v>12</v>
      </c>
      <c r="J1955" t="s">
        <v>12</v>
      </c>
      <c r="K1955" t="s">
        <v>12</v>
      </c>
      <c r="L1955" t="s">
        <v>624</v>
      </c>
      <c r="M1955" t="s">
        <v>868</v>
      </c>
      <c r="O1955">
        <v>14</v>
      </c>
      <c r="FQ1955">
        <v>1</v>
      </c>
    </row>
    <row r="1956" spans="1:184" x14ac:dyDescent="0.25">
      <c r="A1956" t="s">
        <v>623</v>
      </c>
      <c r="B1956" t="s">
        <v>136</v>
      </c>
      <c r="C1956" s="3">
        <f t="shared" si="54"/>
        <v>22.75536111111111</v>
      </c>
      <c r="D1956" s="3">
        <f t="shared" si="55"/>
        <v>121.15045000000001</v>
      </c>
      <c r="E1956" t="s">
        <v>15</v>
      </c>
      <c r="F1956" t="s">
        <v>19</v>
      </c>
      <c r="G1956" t="s">
        <v>214</v>
      </c>
      <c r="I1956" t="s">
        <v>12</v>
      </c>
      <c r="J1956" t="s">
        <v>12</v>
      </c>
      <c r="K1956" t="s">
        <v>12</v>
      </c>
      <c r="L1956" t="s">
        <v>624</v>
      </c>
      <c r="M1956" t="s">
        <v>868</v>
      </c>
      <c r="O1956">
        <v>12</v>
      </c>
      <c r="FR1956">
        <v>1</v>
      </c>
    </row>
    <row r="1957" spans="1:184" x14ac:dyDescent="0.25">
      <c r="A1957" t="s">
        <v>623</v>
      </c>
      <c r="B1957" t="s">
        <v>136</v>
      </c>
      <c r="C1957" s="3">
        <f t="shared" si="54"/>
        <v>22.75536111111111</v>
      </c>
      <c r="D1957" s="3">
        <f t="shared" si="55"/>
        <v>121.15045000000001</v>
      </c>
      <c r="E1957" t="s">
        <v>15</v>
      </c>
      <c r="F1957" t="s">
        <v>19</v>
      </c>
      <c r="G1957" t="s">
        <v>214</v>
      </c>
      <c r="I1957" t="s">
        <v>12</v>
      </c>
      <c r="J1957" t="s">
        <v>12</v>
      </c>
      <c r="K1957" t="s">
        <v>12</v>
      </c>
      <c r="L1957" t="s">
        <v>624</v>
      </c>
      <c r="M1957" t="s">
        <v>868</v>
      </c>
      <c r="O1957">
        <v>23</v>
      </c>
      <c r="FS1957">
        <v>1</v>
      </c>
    </row>
    <row r="1958" spans="1:184" x14ac:dyDescent="0.25">
      <c r="A1958" t="s">
        <v>623</v>
      </c>
      <c r="B1958" t="s">
        <v>136</v>
      </c>
      <c r="C1958" s="3">
        <f t="shared" si="54"/>
        <v>22.75536111111111</v>
      </c>
      <c r="D1958" s="3">
        <f t="shared" si="55"/>
        <v>121.15045000000001</v>
      </c>
      <c r="E1958" t="s">
        <v>15</v>
      </c>
      <c r="F1958" t="s">
        <v>19</v>
      </c>
      <c r="G1958" t="s">
        <v>214</v>
      </c>
      <c r="I1958" t="s">
        <v>12</v>
      </c>
      <c r="J1958" t="s">
        <v>12</v>
      </c>
      <c r="K1958" t="s">
        <v>12</v>
      </c>
      <c r="L1958" t="s">
        <v>624</v>
      </c>
      <c r="M1958" t="s">
        <v>868</v>
      </c>
      <c r="O1958">
        <v>17</v>
      </c>
      <c r="FT1958">
        <v>1</v>
      </c>
    </row>
    <row r="1959" spans="1:184" x14ac:dyDescent="0.25">
      <c r="A1959" t="s">
        <v>623</v>
      </c>
      <c r="B1959" t="s">
        <v>136</v>
      </c>
      <c r="C1959" s="3">
        <f t="shared" si="54"/>
        <v>22.75536111111111</v>
      </c>
      <c r="D1959" s="3">
        <f t="shared" si="55"/>
        <v>121.15045000000001</v>
      </c>
      <c r="E1959" t="s">
        <v>15</v>
      </c>
      <c r="F1959" t="s">
        <v>19</v>
      </c>
      <c r="G1959" t="s">
        <v>214</v>
      </c>
      <c r="I1959" t="s">
        <v>12</v>
      </c>
      <c r="J1959" t="s">
        <v>12</v>
      </c>
      <c r="K1959" t="s">
        <v>12</v>
      </c>
      <c r="L1959" t="s">
        <v>624</v>
      </c>
      <c r="M1959" t="s">
        <v>868</v>
      </c>
      <c r="O1959">
        <v>18</v>
      </c>
      <c r="FU1959">
        <v>1</v>
      </c>
    </row>
    <row r="1960" spans="1:184" x14ac:dyDescent="0.25">
      <c r="A1960" t="s">
        <v>623</v>
      </c>
      <c r="B1960" t="s">
        <v>136</v>
      </c>
      <c r="C1960" s="3">
        <f t="shared" si="54"/>
        <v>22.75536111111111</v>
      </c>
      <c r="D1960" s="3">
        <f t="shared" si="55"/>
        <v>121.15045000000001</v>
      </c>
      <c r="E1960" t="s">
        <v>15</v>
      </c>
      <c r="F1960" t="s">
        <v>19</v>
      </c>
      <c r="G1960" t="s">
        <v>214</v>
      </c>
      <c r="I1960" t="s">
        <v>12</v>
      </c>
      <c r="J1960" t="s">
        <v>12</v>
      </c>
      <c r="K1960" t="s">
        <v>12</v>
      </c>
      <c r="L1960" t="s">
        <v>624</v>
      </c>
      <c r="M1960" t="s">
        <v>868</v>
      </c>
      <c r="O1960">
        <v>12</v>
      </c>
      <c r="FV1960">
        <v>1</v>
      </c>
    </row>
    <row r="1961" spans="1:184" x14ac:dyDescent="0.25">
      <c r="A1961" t="s">
        <v>623</v>
      </c>
      <c r="B1961" t="s">
        <v>136</v>
      </c>
      <c r="C1961" s="3">
        <f t="shared" si="54"/>
        <v>22.75536111111111</v>
      </c>
      <c r="D1961" s="3">
        <f t="shared" si="55"/>
        <v>121.15045000000001</v>
      </c>
      <c r="E1961" t="s">
        <v>15</v>
      </c>
      <c r="F1961" t="s">
        <v>19</v>
      </c>
      <c r="G1961" t="s">
        <v>214</v>
      </c>
      <c r="I1961" t="s">
        <v>12</v>
      </c>
      <c r="J1961" t="s">
        <v>12</v>
      </c>
      <c r="K1961" t="s">
        <v>12</v>
      </c>
      <c r="L1961" t="s">
        <v>624</v>
      </c>
      <c r="M1961" t="s">
        <v>868</v>
      </c>
      <c r="O1961">
        <v>10</v>
      </c>
      <c r="FW1961">
        <v>1</v>
      </c>
    </row>
    <row r="1962" spans="1:184" x14ac:dyDescent="0.25">
      <c r="A1962" t="s">
        <v>623</v>
      </c>
      <c r="B1962" t="s">
        <v>136</v>
      </c>
      <c r="C1962" s="3">
        <f t="shared" si="54"/>
        <v>22.75536111111111</v>
      </c>
      <c r="D1962" s="3">
        <f t="shared" si="55"/>
        <v>121.15045000000001</v>
      </c>
      <c r="E1962" t="s">
        <v>15</v>
      </c>
      <c r="F1962" t="s">
        <v>19</v>
      </c>
      <c r="G1962" t="s">
        <v>214</v>
      </c>
      <c r="I1962" t="s">
        <v>12</v>
      </c>
      <c r="J1962" t="s">
        <v>12</v>
      </c>
      <c r="K1962" t="s">
        <v>12</v>
      </c>
      <c r="L1962" t="s">
        <v>624</v>
      </c>
      <c r="M1962" t="s">
        <v>868</v>
      </c>
      <c r="O1962">
        <v>10</v>
      </c>
      <c r="FX1962">
        <v>1</v>
      </c>
    </row>
    <row r="1963" spans="1:184" x14ac:dyDescent="0.25">
      <c r="A1963" t="s">
        <v>623</v>
      </c>
      <c r="B1963" t="s">
        <v>136</v>
      </c>
      <c r="C1963" s="3">
        <f t="shared" si="54"/>
        <v>22.75536111111111</v>
      </c>
      <c r="D1963" s="3">
        <f t="shared" si="55"/>
        <v>121.15045000000001</v>
      </c>
      <c r="E1963" t="s">
        <v>15</v>
      </c>
      <c r="F1963" t="s">
        <v>19</v>
      </c>
      <c r="G1963" t="s">
        <v>214</v>
      </c>
      <c r="I1963" t="s">
        <v>12</v>
      </c>
      <c r="J1963" t="s">
        <v>12</v>
      </c>
      <c r="K1963" t="s">
        <v>12</v>
      </c>
      <c r="L1963" t="s">
        <v>624</v>
      </c>
      <c r="M1963" t="s">
        <v>868</v>
      </c>
      <c r="O1963">
        <v>19</v>
      </c>
      <c r="FY1963">
        <v>1</v>
      </c>
    </row>
    <row r="1964" spans="1:184" x14ac:dyDescent="0.25">
      <c r="A1964" t="s">
        <v>623</v>
      </c>
      <c r="B1964" t="s">
        <v>136</v>
      </c>
      <c r="C1964" s="3">
        <f t="shared" si="54"/>
        <v>22.75536111111111</v>
      </c>
      <c r="D1964" s="3">
        <f t="shared" si="55"/>
        <v>121.15045000000001</v>
      </c>
      <c r="E1964" t="s">
        <v>15</v>
      </c>
      <c r="F1964" t="s">
        <v>19</v>
      </c>
      <c r="G1964" t="s">
        <v>214</v>
      </c>
      <c r="I1964" t="s">
        <v>12</v>
      </c>
      <c r="J1964" t="s">
        <v>12</v>
      </c>
      <c r="K1964" t="s">
        <v>12</v>
      </c>
      <c r="L1964" t="s">
        <v>624</v>
      </c>
      <c r="M1964" t="s">
        <v>868</v>
      </c>
      <c r="O1964">
        <v>17</v>
      </c>
      <c r="FZ1964">
        <v>1</v>
      </c>
    </row>
    <row r="1965" spans="1:184" x14ac:dyDescent="0.25">
      <c r="A1965" t="s">
        <v>623</v>
      </c>
      <c r="B1965" t="s">
        <v>136</v>
      </c>
      <c r="C1965" s="3">
        <f t="shared" si="54"/>
        <v>22.75536111111111</v>
      </c>
      <c r="D1965" s="3">
        <f t="shared" si="55"/>
        <v>121.15045000000001</v>
      </c>
      <c r="E1965" t="s">
        <v>15</v>
      </c>
      <c r="F1965" t="s">
        <v>19</v>
      </c>
      <c r="G1965" t="s">
        <v>214</v>
      </c>
      <c r="I1965" t="s">
        <v>12</v>
      </c>
      <c r="J1965" t="s">
        <v>12</v>
      </c>
      <c r="K1965" t="s">
        <v>12</v>
      </c>
      <c r="L1965" t="s">
        <v>624</v>
      </c>
      <c r="M1965" t="s">
        <v>868</v>
      </c>
      <c r="O1965">
        <v>17</v>
      </c>
      <c r="GA1965">
        <v>1</v>
      </c>
    </row>
    <row r="1966" spans="1:184" x14ac:dyDescent="0.25">
      <c r="A1966" t="s">
        <v>623</v>
      </c>
      <c r="B1966" t="s">
        <v>136</v>
      </c>
      <c r="C1966" s="3">
        <f t="shared" si="54"/>
        <v>22.75536111111111</v>
      </c>
      <c r="D1966" s="3">
        <f t="shared" si="55"/>
        <v>121.15045000000001</v>
      </c>
      <c r="E1966" t="s">
        <v>15</v>
      </c>
      <c r="F1966" t="s">
        <v>19</v>
      </c>
      <c r="G1966" t="s">
        <v>214</v>
      </c>
      <c r="I1966" t="s">
        <v>12</v>
      </c>
      <c r="J1966" t="s">
        <v>12</v>
      </c>
      <c r="K1966" t="s">
        <v>12</v>
      </c>
      <c r="L1966" t="s">
        <v>624</v>
      </c>
      <c r="M1966" t="s">
        <v>868</v>
      </c>
      <c r="O1966">
        <v>18</v>
      </c>
      <c r="GB1966">
        <v>1</v>
      </c>
    </row>
    <row r="1967" spans="1:184" x14ac:dyDescent="0.25">
      <c r="A1967" t="s">
        <v>459</v>
      </c>
      <c r="B1967" t="s">
        <v>136</v>
      </c>
      <c r="C1967" s="3">
        <v>23.78</v>
      </c>
      <c r="D1967" s="3">
        <v>120.69</v>
      </c>
      <c r="E1967" t="s">
        <v>12</v>
      </c>
      <c r="F1967" t="s">
        <v>21</v>
      </c>
      <c r="G1967" t="s">
        <v>106</v>
      </c>
      <c r="H1967">
        <v>40</v>
      </c>
      <c r="I1967" t="s">
        <v>15</v>
      </c>
      <c r="J1967" t="s">
        <v>12</v>
      </c>
      <c r="K1967" t="s">
        <v>12</v>
      </c>
      <c r="L1967" t="s">
        <v>463</v>
      </c>
      <c r="M1967" t="s">
        <v>970</v>
      </c>
      <c r="O1967">
        <v>67</v>
      </c>
      <c r="P1967">
        <v>34</v>
      </c>
      <c r="BX1967">
        <v>0.25</v>
      </c>
      <c r="CA1967">
        <v>0.25</v>
      </c>
    </row>
    <row r="1968" spans="1:184" x14ac:dyDescent="0.25">
      <c r="A1968" t="s">
        <v>198</v>
      </c>
      <c r="B1968" t="s">
        <v>136</v>
      </c>
      <c r="C1968" s="3">
        <v>22.67</v>
      </c>
      <c r="D1968" s="3">
        <v>120.29</v>
      </c>
      <c r="E1968" t="s">
        <v>12</v>
      </c>
      <c r="F1968" t="s">
        <v>22</v>
      </c>
      <c r="G1968" t="s">
        <v>76</v>
      </c>
      <c r="H1968">
        <v>40</v>
      </c>
      <c r="I1968" t="s">
        <v>12</v>
      </c>
      <c r="J1968" t="s">
        <v>15</v>
      </c>
      <c r="K1968" t="s">
        <v>15</v>
      </c>
      <c r="L1968" t="s">
        <v>199</v>
      </c>
      <c r="M1968" t="s">
        <v>1083</v>
      </c>
      <c r="O1968">
        <f>(6*21+50*45+18*78)/(SUM(6,50,18))</f>
        <v>51.081081081081081</v>
      </c>
      <c r="P1968">
        <f>(6*5+50*26+18*22)/SUM(6,50,18)</f>
        <v>23.324324324324323</v>
      </c>
      <c r="ED1968">
        <v>0.5</v>
      </c>
      <c r="EE1968">
        <v>0.5</v>
      </c>
      <c r="EG1968">
        <v>0.5</v>
      </c>
      <c r="EH1968">
        <v>0.5</v>
      </c>
      <c r="EL1968">
        <v>0.5</v>
      </c>
      <c r="ES1968">
        <v>0.5</v>
      </c>
    </row>
    <row r="1969" spans="1:205" x14ac:dyDescent="0.25">
      <c r="A1969" t="s">
        <v>456</v>
      </c>
      <c r="B1969" t="s">
        <v>136</v>
      </c>
      <c r="C1969" s="3">
        <v>24.09</v>
      </c>
      <c r="D1969" s="3">
        <v>120.52</v>
      </c>
      <c r="E1969" t="s">
        <v>12</v>
      </c>
      <c r="F1969" t="s">
        <v>20</v>
      </c>
      <c r="G1969" t="s">
        <v>106</v>
      </c>
      <c r="H1969">
        <v>40</v>
      </c>
      <c r="I1969" t="s">
        <v>15</v>
      </c>
      <c r="J1969" t="s">
        <v>12</v>
      </c>
      <c r="K1969" t="s">
        <v>12</v>
      </c>
      <c r="L1969" t="s">
        <v>463</v>
      </c>
      <c r="M1969" t="s">
        <v>970</v>
      </c>
      <c r="O1969">
        <v>50</v>
      </c>
      <c r="P1969">
        <v>24</v>
      </c>
      <c r="BX1969">
        <v>0.25</v>
      </c>
      <c r="CA1969">
        <v>0.25</v>
      </c>
    </row>
    <row r="1970" spans="1:205" x14ac:dyDescent="0.25">
      <c r="A1970" t="s">
        <v>412</v>
      </c>
      <c r="B1970" t="s">
        <v>413</v>
      </c>
      <c r="C1970" s="3">
        <v>-6.82</v>
      </c>
      <c r="D1970" s="3">
        <v>39.26</v>
      </c>
      <c r="E1970" t="s">
        <v>12</v>
      </c>
      <c r="F1970" t="s">
        <v>20</v>
      </c>
      <c r="G1970" t="s">
        <v>705</v>
      </c>
      <c r="I1970" t="s">
        <v>15</v>
      </c>
      <c r="J1970" t="s">
        <v>12</v>
      </c>
      <c r="K1970" t="s">
        <v>15</v>
      </c>
      <c r="L1970" t="s">
        <v>753</v>
      </c>
      <c r="M1970" t="s">
        <v>811</v>
      </c>
      <c r="N1970" t="s">
        <v>514</v>
      </c>
      <c r="O1970">
        <v>4</v>
      </c>
      <c r="DK1970">
        <v>1</v>
      </c>
      <c r="DR1970">
        <v>1</v>
      </c>
    </row>
    <row r="1971" spans="1:205" x14ac:dyDescent="0.25">
      <c r="A1971" t="s">
        <v>412</v>
      </c>
      <c r="B1971" t="s">
        <v>413</v>
      </c>
      <c r="C1971" s="3">
        <v>-6.82</v>
      </c>
      <c r="D1971" s="3">
        <v>39.26</v>
      </c>
      <c r="E1971" t="s">
        <v>12</v>
      </c>
      <c r="F1971" t="s">
        <v>77</v>
      </c>
      <c r="G1971" t="s">
        <v>705</v>
      </c>
      <c r="I1971" t="s">
        <v>15</v>
      </c>
      <c r="J1971" t="s">
        <v>12</v>
      </c>
      <c r="K1971" t="s">
        <v>15</v>
      </c>
      <c r="L1971" t="s">
        <v>753</v>
      </c>
      <c r="M1971" t="s">
        <v>811</v>
      </c>
      <c r="N1971" t="s">
        <v>514</v>
      </c>
      <c r="O1971">
        <v>10</v>
      </c>
      <c r="DK1971">
        <v>1</v>
      </c>
      <c r="DR1971">
        <v>1</v>
      </c>
    </row>
    <row r="1972" spans="1:205" x14ac:dyDescent="0.25">
      <c r="A1972" t="s">
        <v>412</v>
      </c>
      <c r="B1972" t="s">
        <v>413</v>
      </c>
      <c r="C1972" s="3">
        <f>-(4+48/60+51.3/3600)</f>
        <v>-4.8142499999999995</v>
      </c>
      <c r="D1972" s="3">
        <f>39+17/60+15.4/3600</f>
        <v>39.287611111111111</v>
      </c>
      <c r="E1972" t="s">
        <v>15</v>
      </c>
      <c r="F1972" t="s">
        <v>34</v>
      </c>
      <c r="G1972" t="s">
        <v>76</v>
      </c>
      <c r="H1972">
        <v>50</v>
      </c>
      <c r="I1972" t="s">
        <v>15</v>
      </c>
      <c r="J1972" t="s">
        <v>12</v>
      </c>
      <c r="K1972" t="s">
        <v>12</v>
      </c>
      <c r="L1972" t="s">
        <v>414</v>
      </c>
      <c r="M1972" t="s">
        <v>990</v>
      </c>
      <c r="O1972">
        <v>27</v>
      </c>
      <c r="P1972">
        <v>7</v>
      </c>
      <c r="EN1972">
        <v>0.5</v>
      </c>
      <c r="EO1972">
        <v>0.5</v>
      </c>
    </row>
    <row r="1973" spans="1:205" x14ac:dyDescent="0.25">
      <c r="A1973" t="s">
        <v>412</v>
      </c>
      <c r="B1973" t="s">
        <v>413</v>
      </c>
      <c r="C1973" s="3">
        <f>-(4+48/60+51.3/3600)</f>
        <v>-4.8142499999999995</v>
      </c>
      <c r="D1973" s="3">
        <f>39+17/60+15.4/3600</f>
        <v>39.287611111111111</v>
      </c>
      <c r="E1973" t="s">
        <v>15</v>
      </c>
      <c r="F1973" t="s">
        <v>34</v>
      </c>
      <c r="G1973" t="s">
        <v>76</v>
      </c>
      <c r="H1973">
        <v>50</v>
      </c>
      <c r="I1973" t="s">
        <v>15</v>
      </c>
      <c r="J1973" t="s">
        <v>12</v>
      </c>
      <c r="K1973" t="s">
        <v>12</v>
      </c>
      <c r="L1973" t="s">
        <v>414</v>
      </c>
      <c r="M1973" t="s">
        <v>990</v>
      </c>
      <c r="O1973">
        <v>19</v>
      </c>
      <c r="P1973">
        <v>10</v>
      </c>
      <c r="EV1973">
        <v>0.5</v>
      </c>
      <c r="EW1973">
        <v>0.5</v>
      </c>
    </row>
    <row r="1974" spans="1:205" x14ac:dyDescent="0.25">
      <c r="A1974" t="s">
        <v>415</v>
      </c>
      <c r="B1974" t="s">
        <v>413</v>
      </c>
      <c r="C1974" s="3">
        <f>-(6+49/60+39.7/3600)</f>
        <v>-6.8276944444444441</v>
      </c>
      <c r="D1974" s="3">
        <f>37+39/60+48.1/3600</f>
        <v>37.663361111111108</v>
      </c>
      <c r="E1974" t="s">
        <v>15</v>
      </c>
      <c r="F1974" t="s">
        <v>20</v>
      </c>
      <c r="G1974" t="s">
        <v>76</v>
      </c>
      <c r="H1974">
        <v>50</v>
      </c>
      <c r="I1974" t="s">
        <v>15</v>
      </c>
      <c r="J1974" t="s">
        <v>12</v>
      </c>
      <c r="K1974" t="s">
        <v>12</v>
      </c>
      <c r="L1974" t="s">
        <v>416</v>
      </c>
      <c r="M1974" t="s">
        <v>989</v>
      </c>
      <c r="O1974">
        <v>7.3</v>
      </c>
      <c r="P1974">
        <v>4</v>
      </c>
      <c r="EU1974">
        <v>0.5</v>
      </c>
      <c r="EV1974">
        <v>0.5</v>
      </c>
    </row>
    <row r="1975" spans="1:205" x14ac:dyDescent="0.25">
      <c r="A1975" t="s">
        <v>335</v>
      </c>
      <c r="B1975" t="s">
        <v>337</v>
      </c>
      <c r="C1975" s="3">
        <v>-43.16</v>
      </c>
      <c r="D1975" s="3">
        <v>146.93</v>
      </c>
      <c r="E1975" t="s">
        <v>15</v>
      </c>
      <c r="F1975" t="s">
        <v>77</v>
      </c>
      <c r="G1975" t="s">
        <v>341</v>
      </c>
      <c r="I1975" t="s">
        <v>15</v>
      </c>
      <c r="J1975" t="s">
        <v>12</v>
      </c>
      <c r="K1975" t="s">
        <v>12</v>
      </c>
      <c r="L1975" t="s">
        <v>338</v>
      </c>
      <c r="M1975" t="s">
        <v>1030</v>
      </c>
      <c r="O1975">
        <v>12.1</v>
      </c>
      <c r="P1975">
        <v>5.6</v>
      </c>
      <c r="GE1975">
        <v>1</v>
      </c>
      <c r="GF1975">
        <v>1</v>
      </c>
      <c r="GG1975">
        <v>0.5</v>
      </c>
    </row>
    <row r="1976" spans="1:205" x14ac:dyDescent="0.25">
      <c r="A1976" t="s">
        <v>335</v>
      </c>
      <c r="B1976" t="s">
        <v>337</v>
      </c>
      <c r="C1976" s="3">
        <v>-43.16</v>
      </c>
      <c r="D1976" s="3">
        <v>146.93</v>
      </c>
      <c r="E1976" t="s">
        <v>15</v>
      </c>
      <c r="F1976" t="s">
        <v>77</v>
      </c>
      <c r="G1976" t="s">
        <v>341</v>
      </c>
      <c r="I1976" t="s">
        <v>15</v>
      </c>
      <c r="J1976" t="s">
        <v>12</v>
      </c>
      <c r="K1976" t="s">
        <v>12</v>
      </c>
      <c r="L1976" t="s">
        <v>338</v>
      </c>
      <c r="M1976" t="s">
        <v>1030</v>
      </c>
      <c r="O1976">
        <v>19.7</v>
      </c>
      <c r="P1976">
        <v>7.3</v>
      </c>
      <c r="GG1976">
        <v>0.5</v>
      </c>
      <c r="GH1976">
        <v>1</v>
      </c>
      <c r="GI1976">
        <v>1</v>
      </c>
      <c r="GJ1976">
        <v>1</v>
      </c>
      <c r="GK1976">
        <v>0.5</v>
      </c>
    </row>
    <row r="1977" spans="1:205" x14ac:dyDescent="0.25">
      <c r="A1977" t="s">
        <v>335</v>
      </c>
      <c r="B1977" t="s">
        <v>337</v>
      </c>
      <c r="C1977" s="3">
        <v>-43.16</v>
      </c>
      <c r="D1977" s="3">
        <v>146.93</v>
      </c>
      <c r="E1977" t="s">
        <v>15</v>
      </c>
      <c r="F1977" t="s">
        <v>77</v>
      </c>
      <c r="G1977" t="s">
        <v>341</v>
      </c>
      <c r="I1977" t="s">
        <v>15</v>
      </c>
      <c r="J1977" t="s">
        <v>12</v>
      </c>
      <c r="K1977" t="s">
        <v>12</v>
      </c>
      <c r="L1977" t="s">
        <v>338</v>
      </c>
      <c r="M1977" t="s">
        <v>1030</v>
      </c>
      <c r="O1977">
        <v>7.4</v>
      </c>
      <c r="P1977">
        <v>2.8</v>
      </c>
      <c r="GK1977">
        <v>0.5</v>
      </c>
      <c r="GL1977">
        <v>1</v>
      </c>
      <c r="GM1977">
        <v>1</v>
      </c>
      <c r="GN1977">
        <v>1</v>
      </c>
      <c r="GO1977">
        <v>1</v>
      </c>
      <c r="GP1977">
        <v>1</v>
      </c>
    </row>
    <row r="1978" spans="1:205" x14ac:dyDescent="0.25">
      <c r="A1978" t="s">
        <v>335</v>
      </c>
      <c r="B1978" t="s">
        <v>337</v>
      </c>
      <c r="C1978" s="3">
        <v>-43.16</v>
      </c>
      <c r="D1978" s="3">
        <v>146.93</v>
      </c>
      <c r="E1978" t="s">
        <v>15</v>
      </c>
      <c r="F1978" t="s">
        <v>77</v>
      </c>
      <c r="G1978" t="s">
        <v>341</v>
      </c>
      <c r="I1978" t="s">
        <v>15</v>
      </c>
      <c r="J1978" t="s">
        <v>12</v>
      </c>
      <c r="K1978" t="s">
        <v>12</v>
      </c>
      <c r="L1978" t="s">
        <v>338</v>
      </c>
      <c r="M1978" t="s">
        <v>1030</v>
      </c>
      <c r="O1978">
        <v>14</v>
      </c>
      <c r="P1978">
        <v>12.6</v>
      </c>
      <c r="GQ1978">
        <v>1</v>
      </c>
      <c r="GR1978">
        <v>1</v>
      </c>
      <c r="GS1978">
        <v>0.5</v>
      </c>
    </row>
    <row r="1979" spans="1:205" x14ac:dyDescent="0.25">
      <c r="A1979" t="s">
        <v>335</v>
      </c>
      <c r="B1979" t="s">
        <v>337</v>
      </c>
      <c r="C1979" s="3">
        <v>-43.16</v>
      </c>
      <c r="D1979" s="3">
        <v>146.93</v>
      </c>
      <c r="E1979" t="s">
        <v>15</v>
      </c>
      <c r="F1979" t="s">
        <v>77</v>
      </c>
      <c r="G1979" t="s">
        <v>341</v>
      </c>
      <c r="I1979" t="s">
        <v>15</v>
      </c>
      <c r="J1979" t="s">
        <v>12</v>
      </c>
      <c r="K1979" t="s">
        <v>12</v>
      </c>
      <c r="L1979" t="s">
        <v>338</v>
      </c>
      <c r="M1979" t="s">
        <v>1030</v>
      </c>
      <c r="O1979">
        <v>23.7</v>
      </c>
      <c r="P1979">
        <v>7.7</v>
      </c>
      <c r="GS1979">
        <v>0.5</v>
      </c>
      <c r="GT1979">
        <v>1</v>
      </c>
      <c r="GU1979">
        <v>1</v>
      </c>
      <c r="GV1979">
        <v>1</v>
      </c>
      <c r="GW1979">
        <v>0.5</v>
      </c>
    </row>
    <row r="1980" spans="1:205" x14ac:dyDescent="0.25">
      <c r="A1980" t="s">
        <v>336</v>
      </c>
      <c r="B1980" t="s">
        <v>337</v>
      </c>
      <c r="C1980" s="3">
        <v>-42.98</v>
      </c>
      <c r="D1980" s="3">
        <v>147.1</v>
      </c>
      <c r="E1980" t="s">
        <v>15</v>
      </c>
      <c r="F1980" t="s">
        <v>20</v>
      </c>
      <c r="G1980" t="s">
        <v>341</v>
      </c>
      <c r="I1980" t="s">
        <v>15</v>
      </c>
      <c r="J1980" t="s">
        <v>12</v>
      </c>
      <c r="K1980" t="s">
        <v>12</v>
      </c>
      <c r="L1980" t="s">
        <v>338</v>
      </c>
      <c r="M1980" t="s">
        <v>1030</v>
      </c>
      <c r="O1980">
        <v>4.5999999999999996</v>
      </c>
      <c r="P1980">
        <v>1.1000000000000001</v>
      </c>
      <c r="GE1980">
        <v>1</v>
      </c>
      <c r="GF1980">
        <v>1</v>
      </c>
      <c r="GG1980">
        <v>0.5</v>
      </c>
    </row>
    <row r="1981" spans="1:205" x14ac:dyDescent="0.25">
      <c r="A1981" t="s">
        <v>336</v>
      </c>
      <c r="B1981" t="s">
        <v>337</v>
      </c>
      <c r="C1981" s="3">
        <v>-42.98</v>
      </c>
      <c r="D1981" s="3">
        <v>147.1</v>
      </c>
      <c r="E1981" t="s">
        <v>15</v>
      </c>
      <c r="F1981" t="s">
        <v>20</v>
      </c>
      <c r="G1981" t="s">
        <v>341</v>
      </c>
      <c r="I1981" t="s">
        <v>15</v>
      </c>
      <c r="J1981" t="s">
        <v>12</v>
      </c>
      <c r="K1981" t="s">
        <v>12</v>
      </c>
      <c r="L1981" t="s">
        <v>338</v>
      </c>
      <c r="M1981" t="s">
        <v>1030</v>
      </c>
      <c r="O1981">
        <v>6.7</v>
      </c>
      <c r="P1981">
        <v>3.5</v>
      </c>
      <c r="GG1981">
        <v>0.5</v>
      </c>
      <c r="GH1981">
        <v>1</v>
      </c>
      <c r="GI1981">
        <v>1</v>
      </c>
      <c r="GJ1981">
        <v>1</v>
      </c>
      <c r="GK1981">
        <v>0.5</v>
      </c>
    </row>
    <row r="1982" spans="1:205" x14ac:dyDescent="0.25">
      <c r="A1982" t="s">
        <v>336</v>
      </c>
      <c r="B1982" t="s">
        <v>337</v>
      </c>
      <c r="C1982" s="3">
        <v>-42.98</v>
      </c>
      <c r="D1982" s="3">
        <v>147.1</v>
      </c>
      <c r="E1982" t="s">
        <v>15</v>
      </c>
      <c r="F1982" t="s">
        <v>20</v>
      </c>
      <c r="G1982" t="s">
        <v>341</v>
      </c>
      <c r="I1982" t="s">
        <v>15</v>
      </c>
      <c r="J1982" t="s">
        <v>12</v>
      </c>
      <c r="K1982" t="s">
        <v>12</v>
      </c>
      <c r="L1982" t="s">
        <v>338</v>
      </c>
      <c r="M1982" t="s">
        <v>1030</v>
      </c>
      <c r="O1982">
        <v>6.2</v>
      </c>
      <c r="P1982">
        <v>1.6</v>
      </c>
      <c r="GK1982">
        <v>0.5</v>
      </c>
      <c r="GL1982">
        <v>1</v>
      </c>
      <c r="GM1982">
        <v>1</v>
      </c>
      <c r="GN1982">
        <v>1</v>
      </c>
      <c r="GO1982">
        <v>1</v>
      </c>
      <c r="GP1982">
        <v>1</v>
      </c>
    </row>
    <row r="1983" spans="1:205" x14ac:dyDescent="0.25">
      <c r="A1983" t="s">
        <v>336</v>
      </c>
      <c r="B1983" t="s">
        <v>337</v>
      </c>
      <c r="C1983" s="3">
        <v>-42.98</v>
      </c>
      <c r="D1983" s="3">
        <v>147.1</v>
      </c>
      <c r="E1983" t="s">
        <v>15</v>
      </c>
      <c r="F1983" t="s">
        <v>20</v>
      </c>
      <c r="G1983" t="s">
        <v>341</v>
      </c>
      <c r="I1983" t="s">
        <v>15</v>
      </c>
      <c r="J1983" t="s">
        <v>12</v>
      </c>
      <c r="K1983" t="s">
        <v>12</v>
      </c>
      <c r="L1983" t="s">
        <v>338</v>
      </c>
      <c r="M1983" t="s">
        <v>1030</v>
      </c>
      <c r="O1983">
        <v>8.6</v>
      </c>
      <c r="P1983">
        <v>3.5</v>
      </c>
      <c r="GQ1983">
        <v>1</v>
      </c>
      <c r="GR1983">
        <v>1</v>
      </c>
      <c r="GS1983">
        <v>0.5</v>
      </c>
    </row>
    <row r="1984" spans="1:205" x14ac:dyDescent="0.25">
      <c r="A1984" t="s">
        <v>336</v>
      </c>
      <c r="B1984" t="s">
        <v>337</v>
      </c>
      <c r="C1984" s="3">
        <v>-42.98</v>
      </c>
      <c r="D1984" s="3">
        <v>147.1</v>
      </c>
      <c r="E1984" t="s">
        <v>15</v>
      </c>
      <c r="F1984" t="s">
        <v>20</v>
      </c>
      <c r="G1984" t="s">
        <v>341</v>
      </c>
      <c r="I1984" t="s">
        <v>15</v>
      </c>
      <c r="J1984" t="s">
        <v>12</v>
      </c>
      <c r="K1984" t="s">
        <v>12</v>
      </c>
      <c r="L1984" t="s">
        <v>338</v>
      </c>
      <c r="M1984" t="s">
        <v>1030</v>
      </c>
      <c r="O1984">
        <v>8.6</v>
      </c>
      <c r="P1984">
        <v>3.2</v>
      </c>
      <c r="GS1984">
        <v>0.5</v>
      </c>
      <c r="GT1984">
        <v>1</v>
      </c>
      <c r="GU1984">
        <v>1</v>
      </c>
      <c r="GV1984">
        <v>1</v>
      </c>
      <c r="GW1984">
        <v>0.5</v>
      </c>
    </row>
    <row r="1985" spans="1:172" x14ac:dyDescent="0.25">
      <c r="A1985" t="s">
        <v>148</v>
      </c>
      <c r="B1985" t="s">
        <v>150</v>
      </c>
      <c r="C1985" s="3">
        <v>13.67</v>
      </c>
      <c r="D1985" s="3">
        <v>100.6</v>
      </c>
      <c r="E1985" t="s">
        <v>12</v>
      </c>
      <c r="F1985" t="s">
        <v>20</v>
      </c>
      <c r="G1985" t="s">
        <v>743</v>
      </c>
      <c r="I1985" t="s">
        <v>15</v>
      </c>
      <c r="J1985" t="s">
        <v>15</v>
      </c>
      <c r="K1985" t="s">
        <v>15</v>
      </c>
      <c r="L1985" t="s">
        <v>779</v>
      </c>
      <c r="M1985" t="s">
        <v>837</v>
      </c>
      <c r="O1985">
        <v>37.9</v>
      </c>
      <c r="P1985">
        <v>18.899999999999999</v>
      </c>
      <c r="CX1985">
        <v>1</v>
      </c>
      <c r="CY1985">
        <v>1</v>
      </c>
      <c r="CZ1985">
        <v>1</v>
      </c>
      <c r="DA1985">
        <v>1</v>
      </c>
      <c r="DB1985">
        <v>1</v>
      </c>
      <c r="DC1985">
        <v>1</v>
      </c>
      <c r="DD1985">
        <v>1</v>
      </c>
      <c r="DE1985">
        <v>1</v>
      </c>
      <c r="DF1985">
        <v>1</v>
      </c>
      <c r="DG1985">
        <v>1</v>
      </c>
      <c r="DH1985">
        <v>1</v>
      </c>
      <c r="DI1985">
        <v>1</v>
      </c>
      <c r="DJ1985">
        <v>1</v>
      </c>
      <c r="DK1985">
        <v>1</v>
      </c>
    </row>
    <row r="1986" spans="1:172" x14ac:dyDescent="0.25">
      <c r="A1986" t="s">
        <v>148</v>
      </c>
      <c r="B1986" t="s">
        <v>150</v>
      </c>
      <c r="C1986" s="3">
        <v>13.83</v>
      </c>
      <c r="D1986" s="3">
        <v>100.55</v>
      </c>
      <c r="E1986" t="s">
        <v>12</v>
      </c>
      <c r="F1986" t="s">
        <v>34</v>
      </c>
      <c r="G1986" t="s">
        <v>743</v>
      </c>
      <c r="I1986" t="s">
        <v>15</v>
      </c>
      <c r="J1986" t="s">
        <v>15</v>
      </c>
      <c r="K1986" t="s">
        <v>15</v>
      </c>
      <c r="L1986" t="s">
        <v>779</v>
      </c>
      <c r="M1986" t="s">
        <v>837</v>
      </c>
      <c r="O1986">
        <v>69</v>
      </c>
      <c r="P1986">
        <v>28.8</v>
      </c>
      <c r="CX1986">
        <v>1</v>
      </c>
      <c r="CY1986">
        <v>1</v>
      </c>
      <c r="CZ1986">
        <v>1</v>
      </c>
      <c r="DA1986">
        <v>1</v>
      </c>
      <c r="DB1986">
        <v>1</v>
      </c>
      <c r="DC1986">
        <v>1</v>
      </c>
      <c r="DD1986">
        <v>1</v>
      </c>
      <c r="DE1986">
        <v>1</v>
      </c>
      <c r="DF1986">
        <v>1</v>
      </c>
      <c r="DG1986">
        <v>1</v>
      </c>
      <c r="DH1986">
        <v>1</v>
      </c>
      <c r="DI1986">
        <v>1</v>
      </c>
      <c r="DJ1986">
        <v>1</v>
      </c>
      <c r="DK1986">
        <v>1</v>
      </c>
    </row>
    <row r="1987" spans="1:172" x14ac:dyDescent="0.25">
      <c r="A1987" t="s">
        <v>148</v>
      </c>
      <c r="B1987" t="s">
        <v>150</v>
      </c>
      <c r="C1987" s="3">
        <v>13.74</v>
      </c>
      <c r="D1987" s="3">
        <v>100.5</v>
      </c>
      <c r="E1987" t="s">
        <v>12</v>
      </c>
      <c r="F1987" t="s">
        <v>21</v>
      </c>
      <c r="G1987" t="s">
        <v>743</v>
      </c>
      <c r="I1987" t="s">
        <v>15</v>
      </c>
      <c r="J1987" t="s">
        <v>15</v>
      </c>
      <c r="K1987" t="s">
        <v>15</v>
      </c>
      <c r="L1987" t="s">
        <v>779</v>
      </c>
      <c r="M1987" t="s">
        <v>837</v>
      </c>
      <c r="O1987">
        <v>41.5</v>
      </c>
      <c r="P1987">
        <v>24.6</v>
      </c>
      <c r="CX1987">
        <v>1</v>
      </c>
      <c r="CY1987">
        <v>1</v>
      </c>
      <c r="CZ1987">
        <v>1</v>
      </c>
      <c r="DA1987">
        <v>1</v>
      </c>
      <c r="DB1987">
        <v>1</v>
      </c>
      <c r="DC1987">
        <v>1</v>
      </c>
      <c r="DD1987">
        <v>1</v>
      </c>
      <c r="DE1987">
        <v>1</v>
      </c>
      <c r="DF1987">
        <v>1</v>
      </c>
      <c r="DG1987">
        <v>1</v>
      </c>
      <c r="DH1987">
        <v>1</v>
      </c>
      <c r="DI1987">
        <v>1</v>
      </c>
      <c r="DJ1987">
        <v>1</v>
      </c>
      <c r="DK1987">
        <v>1</v>
      </c>
    </row>
    <row r="1988" spans="1:172" x14ac:dyDescent="0.25">
      <c r="A1988" t="s">
        <v>148</v>
      </c>
      <c r="B1988" t="s">
        <v>150</v>
      </c>
      <c r="C1988" s="3">
        <v>13.77</v>
      </c>
      <c r="D1988" s="3">
        <v>100.55</v>
      </c>
      <c r="E1988" t="s">
        <v>12</v>
      </c>
      <c r="F1988" t="s">
        <v>21</v>
      </c>
      <c r="G1988" t="s">
        <v>743</v>
      </c>
      <c r="I1988" t="s">
        <v>15</v>
      </c>
      <c r="J1988" t="s">
        <v>15</v>
      </c>
      <c r="K1988" t="s">
        <v>15</v>
      </c>
      <c r="L1988" t="s">
        <v>779</v>
      </c>
      <c r="M1988" t="s">
        <v>837</v>
      </c>
      <c r="O1988">
        <v>40.9</v>
      </c>
      <c r="P1988">
        <v>21.4</v>
      </c>
      <c r="CX1988">
        <v>1</v>
      </c>
      <c r="CY1988">
        <v>1</v>
      </c>
      <c r="CZ1988">
        <v>1</v>
      </c>
      <c r="DA1988">
        <v>1</v>
      </c>
      <c r="DB1988">
        <v>1</v>
      </c>
      <c r="DC1988">
        <v>1</v>
      </c>
      <c r="DD1988">
        <v>1</v>
      </c>
      <c r="DE1988">
        <v>1</v>
      </c>
      <c r="DF1988">
        <v>1</v>
      </c>
      <c r="DG1988">
        <v>1</v>
      </c>
      <c r="DH1988">
        <v>1</v>
      </c>
      <c r="DI1988">
        <v>1</v>
      </c>
      <c r="DJ1988">
        <v>1</v>
      </c>
      <c r="DK1988">
        <v>1</v>
      </c>
    </row>
    <row r="1989" spans="1:172" x14ac:dyDescent="0.25">
      <c r="A1989" t="s">
        <v>148</v>
      </c>
      <c r="B1989" t="s">
        <v>150</v>
      </c>
      <c r="C1989" s="3">
        <v>13.75</v>
      </c>
      <c r="D1989" s="3">
        <v>100.49</v>
      </c>
      <c r="E1989" t="s">
        <v>15</v>
      </c>
      <c r="F1989" t="s">
        <v>21</v>
      </c>
      <c r="G1989" t="s">
        <v>106</v>
      </c>
      <c r="I1989" t="s">
        <v>12</v>
      </c>
      <c r="J1989" t="s">
        <v>12</v>
      </c>
      <c r="K1989" t="s">
        <v>12</v>
      </c>
      <c r="L1989" t="s">
        <v>560</v>
      </c>
      <c r="M1989" t="s">
        <v>906</v>
      </c>
      <c r="O1989">
        <v>23.82</v>
      </c>
      <c r="P1989">
        <v>9.93</v>
      </c>
      <c r="CW1989">
        <v>1</v>
      </c>
      <c r="CX1989">
        <v>1</v>
      </c>
      <c r="CY1989">
        <v>1</v>
      </c>
      <c r="CZ1989">
        <v>1</v>
      </c>
      <c r="DA1989">
        <v>1</v>
      </c>
      <c r="DB1989">
        <v>1</v>
      </c>
      <c r="DC1989">
        <v>1</v>
      </c>
      <c r="DD1989">
        <v>1</v>
      </c>
      <c r="DE1989">
        <v>1</v>
      </c>
      <c r="DF1989">
        <v>1</v>
      </c>
      <c r="DG1989">
        <v>1</v>
      </c>
      <c r="DH1989">
        <v>1</v>
      </c>
      <c r="DI1989">
        <v>1</v>
      </c>
      <c r="DJ1989">
        <v>1</v>
      </c>
      <c r="DK1989">
        <v>1</v>
      </c>
      <c r="DL1989">
        <v>1</v>
      </c>
      <c r="DM1989">
        <v>1</v>
      </c>
      <c r="DN1989">
        <v>1</v>
      </c>
      <c r="DO1989">
        <v>1</v>
      </c>
      <c r="DP1989">
        <v>1</v>
      </c>
      <c r="DQ1989">
        <v>1</v>
      </c>
      <c r="DR1989">
        <v>1</v>
      </c>
      <c r="DS1989">
        <v>1</v>
      </c>
      <c r="DT1989">
        <v>1</v>
      </c>
      <c r="DU1989">
        <v>1</v>
      </c>
      <c r="DV1989">
        <v>1</v>
      </c>
      <c r="DW1989">
        <v>1</v>
      </c>
      <c r="DX1989">
        <v>1</v>
      </c>
      <c r="DY1989">
        <v>1</v>
      </c>
      <c r="DZ1989">
        <v>1</v>
      </c>
      <c r="EA1989">
        <v>1</v>
      </c>
      <c r="EB1989">
        <v>1</v>
      </c>
      <c r="EC1989">
        <v>1</v>
      </c>
      <c r="ED1989">
        <v>1</v>
      </c>
      <c r="EE1989">
        <v>1</v>
      </c>
      <c r="EF1989">
        <v>1</v>
      </c>
      <c r="EG1989">
        <v>1</v>
      </c>
      <c r="EH1989">
        <v>1</v>
      </c>
      <c r="EI1989">
        <v>1</v>
      </c>
      <c r="EJ1989">
        <v>1</v>
      </c>
      <c r="EK1989">
        <v>1</v>
      </c>
      <c r="EL1989">
        <v>1</v>
      </c>
      <c r="EM1989">
        <v>1</v>
      </c>
      <c r="EN1989">
        <v>1</v>
      </c>
      <c r="EO1989">
        <v>1</v>
      </c>
      <c r="EP1989">
        <v>1</v>
      </c>
      <c r="EQ1989">
        <v>1</v>
      </c>
      <c r="ER1989">
        <v>1</v>
      </c>
    </row>
    <row r="1990" spans="1:172" x14ac:dyDescent="0.25">
      <c r="A1990" t="s">
        <v>148</v>
      </c>
      <c r="B1990" t="s">
        <v>150</v>
      </c>
      <c r="C1990" s="3">
        <v>13.72</v>
      </c>
      <c r="D1990" s="3">
        <v>100.52</v>
      </c>
      <c r="E1990" t="s">
        <v>12</v>
      </c>
      <c r="F1990" t="s">
        <v>77</v>
      </c>
      <c r="G1990" t="s">
        <v>76</v>
      </c>
      <c r="H1990">
        <v>40</v>
      </c>
      <c r="I1990" t="s">
        <v>15</v>
      </c>
      <c r="J1990" t="s">
        <v>15</v>
      </c>
      <c r="K1990" t="s">
        <v>15</v>
      </c>
      <c r="L1990" t="s">
        <v>390</v>
      </c>
      <c r="M1990" t="s">
        <v>1002</v>
      </c>
      <c r="O1990">
        <v>18</v>
      </c>
      <c r="CO1990">
        <v>1</v>
      </c>
      <c r="CP1990">
        <v>1</v>
      </c>
      <c r="CQ1990">
        <v>1</v>
      </c>
      <c r="CR1990">
        <v>1</v>
      </c>
      <c r="CS1990">
        <v>1</v>
      </c>
      <c r="CT1990">
        <v>1</v>
      </c>
      <c r="DA1990">
        <v>1</v>
      </c>
      <c r="DB1990">
        <v>1</v>
      </c>
      <c r="DC1990">
        <v>1</v>
      </c>
      <c r="DD1990">
        <v>1</v>
      </c>
      <c r="DE1990">
        <v>1</v>
      </c>
      <c r="DF1990">
        <v>1</v>
      </c>
      <c r="DM1990">
        <v>1</v>
      </c>
      <c r="DN1990">
        <v>1</v>
      </c>
      <c r="DO1990">
        <v>1</v>
      </c>
      <c r="DP1990">
        <v>1</v>
      </c>
      <c r="DQ1990">
        <v>1</v>
      </c>
      <c r="DR1990">
        <v>1</v>
      </c>
      <c r="DY1990">
        <v>1</v>
      </c>
      <c r="DZ1990">
        <v>1</v>
      </c>
      <c r="EA1990">
        <v>1</v>
      </c>
      <c r="EB1990">
        <v>1</v>
      </c>
      <c r="EC1990">
        <v>1</v>
      </c>
      <c r="ED1990">
        <v>1</v>
      </c>
    </row>
    <row r="1991" spans="1:172" x14ac:dyDescent="0.25">
      <c r="A1991" t="s">
        <v>148</v>
      </c>
      <c r="B1991" t="s">
        <v>150</v>
      </c>
      <c r="C1991" s="3">
        <v>13.72</v>
      </c>
      <c r="D1991" s="3">
        <v>100.52</v>
      </c>
      <c r="E1991" t="s">
        <v>12</v>
      </c>
      <c r="F1991" t="s">
        <v>77</v>
      </c>
      <c r="G1991" t="s">
        <v>76</v>
      </c>
      <c r="H1991">
        <v>40</v>
      </c>
      <c r="I1991" t="s">
        <v>15</v>
      </c>
      <c r="J1991" t="s">
        <v>15</v>
      </c>
      <c r="K1991" t="s">
        <v>15</v>
      </c>
      <c r="L1991" t="s">
        <v>390</v>
      </c>
      <c r="M1991" t="s">
        <v>1002</v>
      </c>
      <c r="O1991">
        <v>50</v>
      </c>
      <c r="CK1991">
        <v>1</v>
      </c>
      <c r="CL1991">
        <v>1</v>
      </c>
      <c r="CM1991">
        <v>1</v>
      </c>
      <c r="CN1991">
        <v>1</v>
      </c>
      <c r="CU1991">
        <v>1</v>
      </c>
      <c r="CV1991">
        <v>1</v>
      </c>
      <c r="CW1991">
        <v>1</v>
      </c>
      <c r="CX1991">
        <v>1</v>
      </c>
      <c r="CY1991">
        <v>1</v>
      </c>
      <c r="CZ1991">
        <v>1</v>
      </c>
      <c r="DG1991">
        <v>1</v>
      </c>
      <c r="DH1991">
        <v>1</v>
      </c>
      <c r="DI1991">
        <v>1</v>
      </c>
      <c r="DJ1991">
        <v>1</v>
      </c>
      <c r="DK1991">
        <v>1</v>
      </c>
      <c r="DL1991">
        <v>1</v>
      </c>
      <c r="DS1991">
        <v>1</v>
      </c>
      <c r="DT1991">
        <v>1</v>
      </c>
      <c r="DU1991">
        <v>1</v>
      </c>
      <c r="DV1991">
        <v>1</v>
      </c>
      <c r="DW1991">
        <v>1</v>
      </c>
      <c r="DX1991">
        <v>1</v>
      </c>
      <c r="EE1991">
        <v>1</v>
      </c>
      <c r="EF1991">
        <v>1</v>
      </c>
    </row>
    <row r="1992" spans="1:172" x14ac:dyDescent="0.25">
      <c r="A1992" t="s">
        <v>148</v>
      </c>
      <c r="B1992" t="s">
        <v>150</v>
      </c>
      <c r="C1992" s="3">
        <v>13.826000000000001</v>
      </c>
      <c r="D1992" s="3">
        <v>100.56</v>
      </c>
      <c r="E1992" t="s">
        <v>34</v>
      </c>
      <c r="F1992" t="s">
        <v>77</v>
      </c>
      <c r="G1992" t="s">
        <v>106</v>
      </c>
      <c r="H1992">
        <v>35</v>
      </c>
      <c r="I1992" t="s">
        <v>15</v>
      </c>
      <c r="J1992" t="s">
        <v>12</v>
      </c>
      <c r="K1992" t="s">
        <v>15</v>
      </c>
      <c r="L1992" t="s">
        <v>1105</v>
      </c>
      <c r="M1992" t="s">
        <v>1104</v>
      </c>
      <c r="O1992">
        <v>19.100000000000001</v>
      </c>
      <c r="DI1992">
        <v>1</v>
      </c>
      <c r="DJ1992">
        <v>1</v>
      </c>
      <c r="DK1992">
        <v>1</v>
      </c>
      <c r="DL1992">
        <v>1</v>
      </c>
      <c r="DM1992">
        <v>1</v>
      </c>
      <c r="DN1992">
        <v>1</v>
      </c>
      <c r="DO1992">
        <v>1</v>
      </c>
      <c r="DP1992">
        <v>1</v>
      </c>
      <c r="DQ1992">
        <v>1</v>
      </c>
      <c r="DR1992">
        <v>1</v>
      </c>
      <c r="DS1992">
        <v>1</v>
      </c>
      <c r="DT1992">
        <v>1</v>
      </c>
    </row>
    <row r="1993" spans="1:172" x14ac:dyDescent="0.25">
      <c r="A1993" t="s">
        <v>148</v>
      </c>
      <c r="B1993" t="s">
        <v>150</v>
      </c>
      <c r="C1993" s="3">
        <v>13.826000000000001</v>
      </c>
      <c r="D1993" s="3">
        <v>100.56</v>
      </c>
      <c r="E1993" t="s">
        <v>34</v>
      </c>
      <c r="F1993" t="s">
        <v>77</v>
      </c>
      <c r="G1993" t="s">
        <v>106</v>
      </c>
      <c r="H1993">
        <v>35</v>
      </c>
      <c r="I1993" t="s">
        <v>15</v>
      </c>
      <c r="J1993" t="s">
        <v>12</v>
      </c>
      <c r="K1993" t="s">
        <v>15</v>
      </c>
      <c r="L1993" t="s">
        <v>1105</v>
      </c>
      <c r="M1993" t="s">
        <v>1104</v>
      </c>
      <c r="O1993">
        <v>26.6</v>
      </c>
      <c r="DU1993">
        <v>1</v>
      </c>
      <c r="DV1993">
        <v>1</v>
      </c>
      <c r="DW1993">
        <v>1</v>
      </c>
      <c r="DX1993">
        <v>1</v>
      </c>
      <c r="DY1993">
        <v>1</v>
      </c>
      <c r="DZ1993">
        <v>1</v>
      </c>
      <c r="EA1993">
        <v>1</v>
      </c>
      <c r="EB1993">
        <v>1</v>
      </c>
      <c r="EC1993">
        <v>1</v>
      </c>
      <c r="ED1993">
        <v>1</v>
      </c>
      <c r="EE1993">
        <v>1</v>
      </c>
      <c r="EF1993">
        <v>1</v>
      </c>
    </row>
    <row r="1994" spans="1:172" x14ac:dyDescent="0.25">
      <c r="A1994" t="s">
        <v>148</v>
      </c>
      <c r="B1994" t="s">
        <v>150</v>
      </c>
      <c r="C1994" s="3">
        <v>13.826000000000001</v>
      </c>
      <c r="D1994" s="3">
        <v>100.56</v>
      </c>
      <c r="E1994" t="s">
        <v>34</v>
      </c>
      <c r="F1994" t="s">
        <v>77</v>
      </c>
      <c r="G1994" t="s">
        <v>106</v>
      </c>
      <c r="H1994">
        <v>35</v>
      </c>
      <c r="I1994" t="s">
        <v>15</v>
      </c>
      <c r="J1994" t="s">
        <v>12</v>
      </c>
      <c r="K1994" t="s">
        <v>15</v>
      </c>
      <c r="L1994" t="s">
        <v>1105</v>
      </c>
      <c r="M1994" t="s">
        <v>1104</v>
      </c>
      <c r="O1994">
        <v>23.3</v>
      </c>
      <c r="EG1994">
        <v>1</v>
      </c>
      <c r="EH1994">
        <v>1</v>
      </c>
      <c r="EI1994">
        <v>1</v>
      </c>
      <c r="EJ1994">
        <v>1</v>
      </c>
      <c r="EK1994">
        <v>1</v>
      </c>
      <c r="EL1994">
        <v>1</v>
      </c>
      <c r="EM1994">
        <v>1</v>
      </c>
      <c r="EN1994">
        <v>1</v>
      </c>
      <c r="EO1994">
        <v>1</v>
      </c>
      <c r="EP1994">
        <v>1</v>
      </c>
      <c r="EQ1994">
        <v>1</v>
      </c>
      <c r="ER1994">
        <v>1</v>
      </c>
    </row>
    <row r="1995" spans="1:172" x14ac:dyDescent="0.25">
      <c r="A1995" t="s">
        <v>148</v>
      </c>
      <c r="B1995" t="s">
        <v>150</v>
      </c>
      <c r="C1995" s="3">
        <v>13.826000000000001</v>
      </c>
      <c r="D1995" s="3">
        <v>100.56</v>
      </c>
      <c r="E1995" t="s">
        <v>34</v>
      </c>
      <c r="F1995" t="s">
        <v>77</v>
      </c>
      <c r="G1995" t="s">
        <v>106</v>
      </c>
      <c r="H1995">
        <v>35</v>
      </c>
      <c r="I1995" t="s">
        <v>15</v>
      </c>
      <c r="J1995" t="s">
        <v>12</v>
      </c>
      <c r="K1995" t="s">
        <v>15</v>
      </c>
      <c r="L1995" t="s">
        <v>1105</v>
      </c>
      <c r="M1995" t="s">
        <v>1104</v>
      </c>
      <c r="O1995">
        <v>24.3</v>
      </c>
      <c r="ES1995">
        <v>1</v>
      </c>
      <c r="ET1995">
        <v>1</v>
      </c>
      <c r="EU1995">
        <v>1</v>
      </c>
      <c r="EV1995">
        <v>1</v>
      </c>
      <c r="EW1995">
        <v>1</v>
      </c>
      <c r="EX1995">
        <v>1</v>
      </c>
      <c r="EY1995">
        <v>1</v>
      </c>
      <c r="EZ1995">
        <v>1</v>
      </c>
      <c r="FA1995">
        <v>1</v>
      </c>
      <c r="FB1995">
        <v>1</v>
      </c>
      <c r="FC1995">
        <v>1</v>
      </c>
      <c r="FD1995">
        <v>1</v>
      </c>
    </row>
    <row r="1996" spans="1:172" x14ac:dyDescent="0.25">
      <c r="A1996" t="s">
        <v>148</v>
      </c>
      <c r="B1996" t="s">
        <v>150</v>
      </c>
      <c r="C1996" s="3">
        <v>13.826000000000001</v>
      </c>
      <c r="D1996" s="3">
        <v>100.56</v>
      </c>
      <c r="E1996" t="s">
        <v>34</v>
      </c>
      <c r="F1996" t="s">
        <v>77</v>
      </c>
      <c r="G1996" t="s">
        <v>106</v>
      </c>
      <c r="H1996">
        <v>35</v>
      </c>
      <c r="I1996" t="s">
        <v>15</v>
      </c>
      <c r="J1996" t="s">
        <v>12</v>
      </c>
      <c r="K1996" t="s">
        <v>15</v>
      </c>
      <c r="L1996" t="s">
        <v>1105</v>
      </c>
      <c r="M1996" t="s">
        <v>1104</v>
      </c>
      <c r="O1996">
        <v>23.2</v>
      </c>
      <c r="FE1996">
        <v>1</v>
      </c>
      <c r="FF1996">
        <v>1</v>
      </c>
      <c r="FG1996">
        <v>1</v>
      </c>
      <c r="FH1996">
        <v>1</v>
      </c>
      <c r="FI1996">
        <v>1</v>
      </c>
      <c r="FJ1996">
        <v>1</v>
      </c>
      <c r="FK1996">
        <v>1</v>
      </c>
      <c r="FL1996">
        <v>1</v>
      </c>
      <c r="FM1996">
        <v>1</v>
      </c>
      <c r="FN1996">
        <v>1</v>
      </c>
      <c r="FO1996">
        <v>1</v>
      </c>
      <c r="FP1996">
        <v>1</v>
      </c>
    </row>
    <row r="1997" spans="1:172" x14ac:dyDescent="0.25">
      <c r="A1997" t="s">
        <v>149</v>
      </c>
      <c r="B1997" t="s">
        <v>150</v>
      </c>
      <c r="C1997" s="3">
        <v>14.08</v>
      </c>
      <c r="D1997" s="3">
        <v>100.63</v>
      </c>
      <c r="E1997" t="s">
        <v>34</v>
      </c>
      <c r="F1997" t="s">
        <v>21</v>
      </c>
      <c r="G1997" t="s">
        <v>106</v>
      </c>
      <c r="H1997">
        <v>35</v>
      </c>
      <c r="I1997" t="s">
        <v>15</v>
      </c>
      <c r="J1997" t="s">
        <v>12</v>
      </c>
      <c r="K1997" t="s">
        <v>15</v>
      </c>
      <c r="L1997" t="s">
        <v>1105</v>
      </c>
      <c r="M1997" t="s">
        <v>1104</v>
      </c>
      <c r="O1997">
        <v>14.4</v>
      </c>
      <c r="DI1997">
        <v>1</v>
      </c>
      <c r="DJ1997">
        <v>1</v>
      </c>
      <c r="DK1997">
        <v>1</v>
      </c>
      <c r="DL1997">
        <v>1</v>
      </c>
      <c r="DM1997">
        <v>1</v>
      </c>
      <c r="DN1997">
        <v>1</v>
      </c>
      <c r="DO1997">
        <v>1</v>
      </c>
      <c r="DP1997">
        <v>1</v>
      </c>
      <c r="DQ1997">
        <v>1</v>
      </c>
      <c r="DR1997">
        <v>1</v>
      </c>
      <c r="DS1997">
        <v>1</v>
      </c>
      <c r="DT1997">
        <v>1</v>
      </c>
    </row>
    <row r="1998" spans="1:172" x14ac:dyDescent="0.25">
      <c r="A1998" t="s">
        <v>149</v>
      </c>
      <c r="B1998" t="s">
        <v>150</v>
      </c>
      <c r="C1998" s="3">
        <v>14.08</v>
      </c>
      <c r="D1998" s="3">
        <v>100.63</v>
      </c>
      <c r="E1998" t="s">
        <v>34</v>
      </c>
      <c r="F1998" t="s">
        <v>21</v>
      </c>
      <c r="G1998" t="s">
        <v>106</v>
      </c>
      <c r="H1998">
        <v>35</v>
      </c>
      <c r="I1998" t="s">
        <v>15</v>
      </c>
      <c r="J1998" t="s">
        <v>12</v>
      </c>
      <c r="K1998" t="s">
        <v>15</v>
      </c>
      <c r="L1998" t="s">
        <v>1105</v>
      </c>
      <c r="M1998" t="s">
        <v>1104</v>
      </c>
      <c r="O1998">
        <v>25.2</v>
      </c>
      <c r="DU1998">
        <v>1</v>
      </c>
      <c r="DV1998">
        <v>1</v>
      </c>
      <c r="DW1998">
        <v>1</v>
      </c>
      <c r="DX1998">
        <v>1</v>
      </c>
      <c r="DY1998">
        <v>1</v>
      </c>
      <c r="DZ1998">
        <v>1</v>
      </c>
      <c r="EA1998">
        <v>1</v>
      </c>
      <c r="EB1998">
        <v>1</v>
      </c>
      <c r="EC1998">
        <v>1</v>
      </c>
      <c r="ED1998">
        <v>1</v>
      </c>
      <c r="EE1998">
        <v>1</v>
      </c>
      <c r="EF1998">
        <v>1</v>
      </c>
    </row>
    <row r="1999" spans="1:172" x14ac:dyDescent="0.25">
      <c r="A1999" t="s">
        <v>149</v>
      </c>
      <c r="B1999" t="s">
        <v>150</v>
      </c>
      <c r="C1999" s="3">
        <v>14.08</v>
      </c>
      <c r="D1999" s="3">
        <v>100.63</v>
      </c>
      <c r="E1999" t="s">
        <v>34</v>
      </c>
      <c r="F1999" t="s">
        <v>21</v>
      </c>
      <c r="G1999" t="s">
        <v>106</v>
      </c>
      <c r="H1999">
        <v>35</v>
      </c>
      <c r="I1999" t="s">
        <v>15</v>
      </c>
      <c r="J1999" t="s">
        <v>12</v>
      </c>
      <c r="K1999" t="s">
        <v>15</v>
      </c>
      <c r="L1999" t="s">
        <v>1105</v>
      </c>
      <c r="M1999" t="s">
        <v>1104</v>
      </c>
      <c r="O1999">
        <v>20.2</v>
      </c>
      <c r="EG1999">
        <v>1</v>
      </c>
      <c r="EH1999">
        <v>1</v>
      </c>
      <c r="EI1999">
        <v>1</v>
      </c>
      <c r="EJ1999">
        <v>1</v>
      </c>
      <c r="EK1999">
        <v>1</v>
      </c>
      <c r="EL1999">
        <v>1</v>
      </c>
      <c r="EM1999">
        <v>1</v>
      </c>
      <c r="EN1999">
        <v>1</v>
      </c>
      <c r="EO1999">
        <v>1</v>
      </c>
      <c r="EP1999">
        <v>1</v>
      </c>
      <c r="EQ1999">
        <v>1</v>
      </c>
      <c r="ER1999">
        <v>1</v>
      </c>
    </row>
    <row r="2000" spans="1:172" x14ac:dyDescent="0.25">
      <c r="A2000" t="s">
        <v>149</v>
      </c>
      <c r="B2000" t="s">
        <v>150</v>
      </c>
      <c r="C2000" s="3">
        <v>14.08</v>
      </c>
      <c r="D2000" s="3">
        <v>100.63</v>
      </c>
      <c r="E2000" t="s">
        <v>34</v>
      </c>
      <c r="F2000" t="s">
        <v>21</v>
      </c>
      <c r="G2000" t="s">
        <v>106</v>
      </c>
      <c r="H2000">
        <v>35</v>
      </c>
      <c r="I2000" t="s">
        <v>15</v>
      </c>
      <c r="J2000" t="s">
        <v>12</v>
      </c>
      <c r="K2000" t="s">
        <v>15</v>
      </c>
      <c r="L2000" t="s">
        <v>1105</v>
      </c>
      <c r="M2000" t="s">
        <v>1104</v>
      </c>
      <c r="O2000">
        <v>17.7</v>
      </c>
      <c r="ES2000">
        <v>1</v>
      </c>
      <c r="ET2000">
        <v>1</v>
      </c>
      <c r="EU2000">
        <v>1</v>
      </c>
      <c r="EV2000">
        <v>1</v>
      </c>
      <c r="EW2000">
        <v>1</v>
      </c>
      <c r="EX2000">
        <v>1</v>
      </c>
      <c r="EY2000">
        <v>1</v>
      </c>
      <c r="EZ2000">
        <v>1</v>
      </c>
      <c r="FA2000">
        <v>1</v>
      </c>
      <c r="FB2000">
        <v>1</v>
      </c>
      <c r="FC2000">
        <v>1</v>
      </c>
      <c r="FD2000">
        <v>1</v>
      </c>
    </row>
    <row r="2001" spans="1:172" x14ac:dyDescent="0.25">
      <c r="A2001" t="s">
        <v>149</v>
      </c>
      <c r="B2001" t="s">
        <v>150</v>
      </c>
      <c r="C2001" s="3">
        <v>14.08</v>
      </c>
      <c r="D2001" s="3">
        <v>100.63</v>
      </c>
      <c r="E2001" t="s">
        <v>34</v>
      </c>
      <c r="F2001" t="s">
        <v>21</v>
      </c>
      <c r="G2001" t="s">
        <v>106</v>
      </c>
      <c r="H2001">
        <v>35</v>
      </c>
      <c r="I2001" t="s">
        <v>15</v>
      </c>
      <c r="J2001" t="s">
        <v>12</v>
      </c>
      <c r="K2001" t="s">
        <v>15</v>
      </c>
      <c r="L2001" t="s">
        <v>1105</v>
      </c>
      <c r="M2001" t="s">
        <v>1104</v>
      </c>
      <c r="O2001">
        <v>19.8</v>
      </c>
      <c r="FE2001">
        <v>1</v>
      </c>
      <c r="FF2001">
        <v>1</v>
      </c>
      <c r="FG2001">
        <v>1</v>
      </c>
      <c r="FH2001">
        <v>1</v>
      </c>
      <c r="FI2001">
        <v>1</v>
      </c>
      <c r="FJ2001">
        <v>1</v>
      </c>
      <c r="FK2001">
        <v>1</v>
      </c>
      <c r="FL2001">
        <v>1</v>
      </c>
      <c r="FM2001">
        <v>1</v>
      </c>
      <c r="FN2001">
        <v>1</v>
      </c>
      <c r="FO2001">
        <v>1</v>
      </c>
      <c r="FP2001">
        <v>1</v>
      </c>
    </row>
    <row r="2002" spans="1:172" x14ac:dyDescent="0.25">
      <c r="A2002" t="s">
        <v>569</v>
      </c>
      <c r="B2002" t="s">
        <v>150</v>
      </c>
      <c r="C2002" s="3">
        <v>14.02</v>
      </c>
      <c r="D2002" s="3">
        <v>100.52</v>
      </c>
      <c r="E2002" t="s">
        <v>15</v>
      </c>
      <c r="F2002" t="s">
        <v>21</v>
      </c>
      <c r="G2002" t="s">
        <v>106</v>
      </c>
      <c r="I2002" t="s">
        <v>12</v>
      </c>
      <c r="J2002" t="s">
        <v>12</v>
      </c>
      <c r="K2002" t="s">
        <v>12</v>
      </c>
      <c r="L2002" t="s">
        <v>560</v>
      </c>
      <c r="M2002" t="s">
        <v>906</v>
      </c>
      <c r="O2002">
        <v>20.21</v>
      </c>
      <c r="P2002">
        <v>8.8000000000000007</v>
      </c>
      <c r="DI2002">
        <v>1</v>
      </c>
      <c r="DJ2002">
        <v>1</v>
      </c>
      <c r="DK2002">
        <v>1</v>
      </c>
      <c r="DL2002">
        <v>1</v>
      </c>
      <c r="DM2002">
        <v>1</v>
      </c>
      <c r="DN2002">
        <v>1</v>
      </c>
      <c r="DO2002">
        <v>1</v>
      </c>
      <c r="DP2002">
        <v>1</v>
      </c>
      <c r="DQ2002">
        <v>1</v>
      </c>
      <c r="DR2002">
        <v>1</v>
      </c>
      <c r="DS2002">
        <v>1</v>
      </c>
      <c r="DT2002">
        <v>1</v>
      </c>
      <c r="DU2002">
        <v>1</v>
      </c>
      <c r="DV2002">
        <v>1</v>
      </c>
      <c r="DW2002">
        <v>1</v>
      </c>
      <c r="DX2002">
        <v>1</v>
      </c>
      <c r="DY2002">
        <v>1</v>
      </c>
      <c r="DZ2002">
        <v>1</v>
      </c>
      <c r="EA2002">
        <v>1</v>
      </c>
      <c r="EB2002">
        <v>1</v>
      </c>
      <c r="EC2002">
        <v>1</v>
      </c>
      <c r="ED2002">
        <v>1</v>
      </c>
      <c r="EE2002">
        <v>1</v>
      </c>
      <c r="EF2002">
        <v>1</v>
      </c>
      <c r="EG2002">
        <v>1</v>
      </c>
      <c r="EH2002">
        <v>1</v>
      </c>
      <c r="EI2002">
        <v>1</v>
      </c>
      <c r="EJ2002">
        <v>1</v>
      </c>
      <c r="EK2002">
        <v>1</v>
      </c>
      <c r="EL2002">
        <v>1</v>
      </c>
      <c r="EM2002">
        <v>1</v>
      </c>
      <c r="EN2002">
        <v>1</v>
      </c>
      <c r="EO2002">
        <v>1</v>
      </c>
      <c r="EP2002">
        <v>1</v>
      </c>
      <c r="EQ2002">
        <v>1</v>
      </c>
      <c r="ER2002">
        <v>1</v>
      </c>
    </row>
    <row r="2003" spans="1:172" x14ac:dyDescent="0.25">
      <c r="A2003" t="s">
        <v>246</v>
      </c>
      <c r="B2003" t="s">
        <v>116</v>
      </c>
      <c r="C2003" s="3">
        <f>47+29/60+27/3600</f>
        <v>47.490833333333335</v>
      </c>
      <c r="D2003" s="3">
        <f>18+57/60+10/3600</f>
        <v>18.952777777777776</v>
      </c>
      <c r="E2003" t="s">
        <v>15</v>
      </c>
      <c r="F2003" t="s">
        <v>20</v>
      </c>
      <c r="G2003" t="s">
        <v>308</v>
      </c>
      <c r="H2003">
        <v>50</v>
      </c>
      <c r="I2003" t="s">
        <v>15</v>
      </c>
      <c r="J2003" t="s">
        <v>12</v>
      </c>
      <c r="K2003" t="s">
        <v>12</v>
      </c>
      <c r="L2003" t="s">
        <v>310</v>
      </c>
      <c r="M2003" t="s">
        <v>1039</v>
      </c>
      <c r="N2003" t="s">
        <v>309</v>
      </c>
      <c r="O2003">
        <f>AVERAGE(13,12,15)</f>
        <v>13.333333333333334</v>
      </c>
      <c r="CZ2003">
        <v>0.5</v>
      </c>
      <c r="DA2003">
        <v>0.5</v>
      </c>
    </row>
    <row r="2004" spans="1:172" x14ac:dyDescent="0.25">
      <c r="A2004" t="s">
        <v>246</v>
      </c>
      <c r="B2004" t="s">
        <v>116</v>
      </c>
      <c r="C2004" s="3">
        <f>47+29/60+37/3600</f>
        <v>47.493611111111115</v>
      </c>
      <c r="D2004" s="3">
        <f>19+3/60+38/3600</f>
        <v>19.060555555555556</v>
      </c>
      <c r="E2004" t="s">
        <v>15</v>
      </c>
      <c r="F2004" t="s">
        <v>34</v>
      </c>
      <c r="G2004" t="s">
        <v>308</v>
      </c>
      <c r="H2004">
        <v>50</v>
      </c>
      <c r="I2004" t="s">
        <v>15</v>
      </c>
      <c r="J2004" t="s">
        <v>12</v>
      </c>
      <c r="K2004" t="s">
        <v>12</v>
      </c>
      <c r="L2004" t="s">
        <v>310</v>
      </c>
      <c r="M2004" t="s">
        <v>1039</v>
      </c>
      <c r="N2004" t="s">
        <v>309</v>
      </c>
      <c r="O2004">
        <f>AVERAGE(22,14,26,20,16,31)</f>
        <v>21.5</v>
      </c>
      <c r="CZ2004">
        <v>0.5</v>
      </c>
      <c r="DA2004">
        <v>0.5</v>
      </c>
    </row>
    <row r="2005" spans="1:172" x14ac:dyDescent="0.25">
      <c r="A2005" t="s">
        <v>314</v>
      </c>
      <c r="B2005" t="s">
        <v>116</v>
      </c>
      <c r="C2005" s="3">
        <f t="shared" ref="C2005:C2014" si="56">36+33/60+54/3600</f>
        <v>36.564999999999998</v>
      </c>
      <c r="D2005" s="3">
        <f t="shared" ref="D2005:D2014" si="57">34+15/60+18/3600</f>
        <v>34.255000000000003</v>
      </c>
      <c r="E2005" t="s">
        <v>15</v>
      </c>
      <c r="F2005" t="s">
        <v>20</v>
      </c>
      <c r="G2005" t="s">
        <v>106</v>
      </c>
      <c r="H2005">
        <v>50</v>
      </c>
      <c r="I2005" t="s">
        <v>12</v>
      </c>
      <c r="J2005" t="s">
        <v>12</v>
      </c>
      <c r="K2005" t="s">
        <v>12</v>
      </c>
      <c r="L2005" t="s">
        <v>315</v>
      </c>
      <c r="M2005" t="s">
        <v>938</v>
      </c>
      <c r="N2005" t="s">
        <v>316</v>
      </c>
      <c r="O2005">
        <v>9</v>
      </c>
      <c r="CN2005">
        <v>1</v>
      </c>
    </row>
    <row r="2006" spans="1:172" x14ac:dyDescent="0.25">
      <c r="A2006" t="s">
        <v>314</v>
      </c>
      <c r="B2006" t="s">
        <v>116</v>
      </c>
      <c r="C2006" s="3">
        <f t="shared" si="56"/>
        <v>36.564999999999998</v>
      </c>
      <c r="D2006" s="3">
        <f t="shared" si="57"/>
        <v>34.255000000000003</v>
      </c>
      <c r="E2006" t="s">
        <v>15</v>
      </c>
      <c r="F2006" t="s">
        <v>20</v>
      </c>
      <c r="G2006" t="s">
        <v>106</v>
      </c>
      <c r="H2006">
        <v>50</v>
      </c>
      <c r="I2006" t="s">
        <v>12</v>
      </c>
      <c r="J2006" t="s">
        <v>12</v>
      </c>
      <c r="K2006" t="s">
        <v>12</v>
      </c>
      <c r="L2006" t="s">
        <v>315</v>
      </c>
      <c r="M2006" t="s">
        <v>938</v>
      </c>
      <c r="N2006" t="s">
        <v>316</v>
      </c>
      <c r="O2006">
        <v>11</v>
      </c>
      <c r="CO2006">
        <v>1</v>
      </c>
    </row>
    <row r="2007" spans="1:172" x14ac:dyDescent="0.25">
      <c r="A2007" t="s">
        <v>314</v>
      </c>
      <c r="B2007" t="s">
        <v>116</v>
      </c>
      <c r="C2007" s="3">
        <f t="shared" si="56"/>
        <v>36.564999999999998</v>
      </c>
      <c r="D2007" s="3">
        <f t="shared" si="57"/>
        <v>34.255000000000003</v>
      </c>
      <c r="E2007" t="s">
        <v>15</v>
      </c>
      <c r="F2007" t="s">
        <v>20</v>
      </c>
      <c r="G2007" t="s">
        <v>106</v>
      </c>
      <c r="H2007">
        <v>50</v>
      </c>
      <c r="I2007" t="s">
        <v>12</v>
      </c>
      <c r="J2007" t="s">
        <v>12</v>
      </c>
      <c r="K2007" t="s">
        <v>12</v>
      </c>
      <c r="L2007" t="s">
        <v>315</v>
      </c>
      <c r="M2007" t="s">
        <v>938</v>
      </c>
      <c r="N2007" t="s">
        <v>316</v>
      </c>
      <c r="O2007">
        <v>4</v>
      </c>
      <c r="CP2007">
        <v>1</v>
      </c>
    </row>
    <row r="2008" spans="1:172" x14ac:dyDescent="0.25">
      <c r="A2008" t="s">
        <v>314</v>
      </c>
      <c r="B2008" t="s">
        <v>116</v>
      </c>
      <c r="C2008" s="3">
        <f t="shared" si="56"/>
        <v>36.564999999999998</v>
      </c>
      <c r="D2008" s="3">
        <f t="shared" si="57"/>
        <v>34.255000000000003</v>
      </c>
      <c r="E2008" t="s">
        <v>15</v>
      </c>
      <c r="F2008" t="s">
        <v>20</v>
      </c>
      <c r="G2008" t="s">
        <v>106</v>
      </c>
      <c r="H2008">
        <v>50</v>
      </c>
      <c r="I2008" t="s">
        <v>12</v>
      </c>
      <c r="J2008" t="s">
        <v>12</v>
      </c>
      <c r="K2008" t="s">
        <v>12</v>
      </c>
      <c r="L2008" t="s">
        <v>315</v>
      </c>
      <c r="M2008" t="s">
        <v>938</v>
      </c>
      <c r="N2008" t="s">
        <v>316</v>
      </c>
      <c r="O2008">
        <v>9</v>
      </c>
      <c r="CQ2008">
        <v>1</v>
      </c>
    </row>
    <row r="2009" spans="1:172" x14ac:dyDescent="0.25">
      <c r="A2009" t="s">
        <v>314</v>
      </c>
      <c r="B2009" t="s">
        <v>116</v>
      </c>
      <c r="C2009" s="3">
        <f t="shared" si="56"/>
        <v>36.564999999999998</v>
      </c>
      <c r="D2009" s="3">
        <f t="shared" si="57"/>
        <v>34.255000000000003</v>
      </c>
      <c r="E2009" t="s">
        <v>15</v>
      </c>
      <c r="F2009" t="s">
        <v>20</v>
      </c>
      <c r="G2009" t="s">
        <v>106</v>
      </c>
      <c r="H2009">
        <v>50</v>
      </c>
      <c r="I2009" t="s">
        <v>12</v>
      </c>
      <c r="J2009" t="s">
        <v>12</v>
      </c>
      <c r="K2009" t="s">
        <v>12</v>
      </c>
      <c r="L2009" t="s">
        <v>315</v>
      </c>
      <c r="M2009" t="s">
        <v>938</v>
      </c>
      <c r="N2009" t="s">
        <v>316</v>
      </c>
      <c r="O2009">
        <v>12</v>
      </c>
      <c r="CR2009">
        <v>1</v>
      </c>
    </row>
    <row r="2010" spans="1:172" x14ac:dyDescent="0.25">
      <c r="A2010" t="s">
        <v>314</v>
      </c>
      <c r="B2010" t="s">
        <v>116</v>
      </c>
      <c r="C2010" s="3">
        <f t="shared" si="56"/>
        <v>36.564999999999998</v>
      </c>
      <c r="D2010" s="3">
        <f t="shared" si="57"/>
        <v>34.255000000000003</v>
      </c>
      <c r="E2010" t="s">
        <v>15</v>
      </c>
      <c r="F2010" t="s">
        <v>20</v>
      </c>
      <c r="G2010" t="s">
        <v>106</v>
      </c>
      <c r="H2010">
        <v>50</v>
      </c>
      <c r="I2010" t="s">
        <v>12</v>
      </c>
      <c r="J2010" t="s">
        <v>12</v>
      </c>
      <c r="K2010" t="s">
        <v>12</v>
      </c>
      <c r="L2010" t="s">
        <v>315</v>
      </c>
      <c r="M2010" t="s">
        <v>938</v>
      </c>
      <c r="N2010" t="s">
        <v>316</v>
      </c>
      <c r="O2010">
        <v>12</v>
      </c>
      <c r="CS2010">
        <v>1</v>
      </c>
    </row>
    <row r="2011" spans="1:172" x14ac:dyDescent="0.25">
      <c r="A2011" t="s">
        <v>314</v>
      </c>
      <c r="B2011" t="s">
        <v>116</v>
      </c>
      <c r="C2011" s="3">
        <f t="shared" si="56"/>
        <v>36.564999999999998</v>
      </c>
      <c r="D2011" s="3">
        <f t="shared" si="57"/>
        <v>34.255000000000003</v>
      </c>
      <c r="E2011" t="s">
        <v>15</v>
      </c>
      <c r="F2011" t="s">
        <v>20</v>
      </c>
      <c r="G2011" t="s">
        <v>106</v>
      </c>
      <c r="H2011">
        <v>50</v>
      </c>
      <c r="I2011" t="s">
        <v>12</v>
      </c>
      <c r="J2011" t="s">
        <v>12</v>
      </c>
      <c r="K2011" t="s">
        <v>12</v>
      </c>
      <c r="L2011" t="s">
        <v>315</v>
      </c>
      <c r="M2011" t="s">
        <v>938</v>
      </c>
      <c r="N2011" t="s">
        <v>316</v>
      </c>
      <c r="O2011">
        <v>13</v>
      </c>
      <c r="CV2011">
        <v>1</v>
      </c>
    </row>
    <row r="2012" spans="1:172" x14ac:dyDescent="0.25">
      <c r="A2012" t="s">
        <v>314</v>
      </c>
      <c r="B2012" t="s">
        <v>116</v>
      </c>
      <c r="C2012" s="3">
        <f t="shared" si="56"/>
        <v>36.564999999999998</v>
      </c>
      <c r="D2012" s="3">
        <f t="shared" si="57"/>
        <v>34.255000000000003</v>
      </c>
      <c r="E2012" t="s">
        <v>15</v>
      </c>
      <c r="F2012" t="s">
        <v>20</v>
      </c>
      <c r="G2012" t="s">
        <v>106</v>
      </c>
      <c r="H2012">
        <v>50</v>
      </c>
      <c r="I2012" t="s">
        <v>12</v>
      </c>
      <c r="J2012" t="s">
        <v>12</v>
      </c>
      <c r="K2012" t="s">
        <v>12</v>
      </c>
      <c r="L2012" t="s">
        <v>315</v>
      </c>
      <c r="M2012" t="s">
        <v>938</v>
      </c>
      <c r="N2012" t="s">
        <v>316</v>
      </c>
      <c r="O2012">
        <v>15</v>
      </c>
      <c r="CW2012">
        <v>1</v>
      </c>
    </row>
    <row r="2013" spans="1:172" x14ac:dyDescent="0.25">
      <c r="A2013" t="s">
        <v>314</v>
      </c>
      <c r="B2013" t="s">
        <v>116</v>
      </c>
      <c r="C2013" s="3">
        <f t="shared" si="56"/>
        <v>36.564999999999998</v>
      </c>
      <c r="D2013" s="3">
        <f t="shared" si="57"/>
        <v>34.255000000000003</v>
      </c>
      <c r="E2013" t="s">
        <v>15</v>
      </c>
      <c r="F2013" t="s">
        <v>20</v>
      </c>
      <c r="G2013" t="s">
        <v>106</v>
      </c>
      <c r="H2013">
        <v>50</v>
      </c>
      <c r="I2013" t="s">
        <v>12</v>
      </c>
      <c r="J2013" t="s">
        <v>12</v>
      </c>
      <c r="K2013" t="s">
        <v>12</v>
      </c>
      <c r="L2013" t="s">
        <v>315</v>
      </c>
      <c r="M2013" t="s">
        <v>938</v>
      </c>
      <c r="N2013" t="s">
        <v>316</v>
      </c>
      <c r="O2013">
        <v>9</v>
      </c>
      <c r="CX2013">
        <v>1</v>
      </c>
    </row>
    <row r="2014" spans="1:172" x14ac:dyDescent="0.25">
      <c r="A2014" t="s">
        <v>314</v>
      </c>
      <c r="B2014" t="s">
        <v>116</v>
      </c>
      <c r="C2014" s="3">
        <f t="shared" si="56"/>
        <v>36.564999999999998</v>
      </c>
      <c r="D2014" s="3">
        <f t="shared" si="57"/>
        <v>34.255000000000003</v>
      </c>
      <c r="E2014" t="s">
        <v>15</v>
      </c>
      <c r="F2014" t="s">
        <v>20</v>
      </c>
      <c r="G2014" t="s">
        <v>106</v>
      </c>
      <c r="H2014">
        <v>50</v>
      </c>
      <c r="I2014" t="s">
        <v>12</v>
      </c>
      <c r="J2014" t="s">
        <v>12</v>
      </c>
      <c r="K2014" t="s">
        <v>12</v>
      </c>
      <c r="L2014" t="s">
        <v>315</v>
      </c>
      <c r="M2014" t="s">
        <v>938</v>
      </c>
      <c r="N2014" t="s">
        <v>316</v>
      </c>
      <c r="O2014">
        <v>6</v>
      </c>
      <c r="CY2014">
        <v>1</v>
      </c>
    </row>
    <row r="2015" spans="1:172" x14ac:dyDescent="0.25">
      <c r="A2015" t="s">
        <v>247</v>
      </c>
      <c r="B2015" t="s">
        <v>116</v>
      </c>
      <c r="C2015" s="3">
        <f t="shared" ref="C2015:C2027" si="58">41+2/60+35/3600</f>
        <v>41.043055555555554</v>
      </c>
      <c r="D2015" s="3">
        <f t="shared" ref="D2015:D2027" si="59">28+35/60+25/60</f>
        <v>29</v>
      </c>
      <c r="E2015" t="s">
        <v>15</v>
      </c>
      <c r="F2015" t="s">
        <v>21</v>
      </c>
      <c r="G2015" t="s">
        <v>106</v>
      </c>
      <c r="I2015" t="s">
        <v>12</v>
      </c>
      <c r="J2015" t="s">
        <v>12</v>
      </c>
      <c r="K2015" t="s">
        <v>12</v>
      </c>
      <c r="L2015" t="s">
        <v>542</v>
      </c>
      <c r="M2015" t="s">
        <v>922</v>
      </c>
      <c r="O2015">
        <v>16</v>
      </c>
      <c r="DC2015">
        <v>1</v>
      </c>
    </row>
    <row r="2016" spans="1:172" x14ac:dyDescent="0.25">
      <c r="A2016" t="s">
        <v>247</v>
      </c>
      <c r="B2016" t="s">
        <v>116</v>
      </c>
      <c r="C2016" s="3">
        <f t="shared" si="58"/>
        <v>41.043055555555554</v>
      </c>
      <c r="D2016" s="3">
        <f t="shared" si="59"/>
        <v>29</v>
      </c>
      <c r="E2016" t="s">
        <v>15</v>
      </c>
      <c r="F2016" t="s">
        <v>21</v>
      </c>
      <c r="G2016" t="s">
        <v>106</v>
      </c>
      <c r="I2016" t="s">
        <v>12</v>
      </c>
      <c r="J2016" t="s">
        <v>12</v>
      </c>
      <c r="K2016" t="s">
        <v>12</v>
      </c>
      <c r="L2016" t="s">
        <v>542</v>
      </c>
      <c r="M2016" t="s">
        <v>922</v>
      </c>
      <c r="O2016">
        <v>12</v>
      </c>
      <c r="DD2016">
        <v>1</v>
      </c>
    </row>
    <row r="2017" spans="1:204" x14ac:dyDescent="0.25">
      <c r="A2017" t="s">
        <v>247</v>
      </c>
      <c r="B2017" t="s">
        <v>116</v>
      </c>
      <c r="C2017" s="3">
        <f t="shared" si="58"/>
        <v>41.043055555555554</v>
      </c>
      <c r="D2017" s="3">
        <f t="shared" si="59"/>
        <v>29</v>
      </c>
      <c r="E2017" t="s">
        <v>15</v>
      </c>
      <c r="F2017" t="s">
        <v>21</v>
      </c>
      <c r="G2017" t="s">
        <v>106</v>
      </c>
      <c r="I2017" t="s">
        <v>12</v>
      </c>
      <c r="J2017" t="s">
        <v>12</v>
      </c>
      <c r="K2017" t="s">
        <v>12</v>
      </c>
      <c r="L2017" t="s">
        <v>542</v>
      </c>
      <c r="M2017" t="s">
        <v>922</v>
      </c>
      <c r="O2017">
        <v>11</v>
      </c>
      <c r="DE2017">
        <v>1</v>
      </c>
    </row>
    <row r="2018" spans="1:204" x14ac:dyDescent="0.25">
      <c r="A2018" t="s">
        <v>247</v>
      </c>
      <c r="B2018" t="s">
        <v>116</v>
      </c>
      <c r="C2018" s="3">
        <f t="shared" si="58"/>
        <v>41.043055555555554</v>
      </c>
      <c r="D2018" s="3">
        <f t="shared" si="59"/>
        <v>29</v>
      </c>
      <c r="E2018" t="s">
        <v>15</v>
      </c>
      <c r="F2018" t="s">
        <v>21</v>
      </c>
      <c r="G2018" t="s">
        <v>106</v>
      </c>
      <c r="I2018" t="s">
        <v>12</v>
      </c>
      <c r="J2018" t="s">
        <v>12</v>
      </c>
      <c r="K2018" t="s">
        <v>12</v>
      </c>
      <c r="L2018" t="s">
        <v>542</v>
      </c>
      <c r="M2018" t="s">
        <v>922</v>
      </c>
      <c r="O2018">
        <v>9</v>
      </c>
      <c r="DF2018">
        <v>1</v>
      </c>
    </row>
    <row r="2019" spans="1:204" x14ac:dyDescent="0.25">
      <c r="A2019" t="s">
        <v>247</v>
      </c>
      <c r="B2019" t="s">
        <v>116</v>
      </c>
      <c r="C2019" s="3">
        <f t="shared" si="58"/>
        <v>41.043055555555554</v>
      </c>
      <c r="D2019" s="3">
        <f t="shared" si="59"/>
        <v>29</v>
      </c>
      <c r="E2019" t="s">
        <v>15</v>
      </c>
      <c r="F2019" t="s">
        <v>21</v>
      </c>
      <c r="G2019" t="s">
        <v>106</v>
      </c>
      <c r="I2019" t="s">
        <v>12</v>
      </c>
      <c r="J2019" t="s">
        <v>12</v>
      </c>
      <c r="K2019" t="s">
        <v>12</v>
      </c>
      <c r="L2019" t="s">
        <v>542</v>
      </c>
      <c r="M2019" t="s">
        <v>922</v>
      </c>
      <c r="O2019">
        <v>45</v>
      </c>
      <c r="DG2019">
        <v>1</v>
      </c>
    </row>
    <row r="2020" spans="1:204" x14ac:dyDescent="0.25">
      <c r="A2020" t="s">
        <v>247</v>
      </c>
      <c r="B2020" t="s">
        <v>116</v>
      </c>
      <c r="C2020" s="3">
        <f t="shared" si="58"/>
        <v>41.043055555555554</v>
      </c>
      <c r="D2020" s="3">
        <f t="shared" si="59"/>
        <v>29</v>
      </c>
      <c r="E2020" t="s">
        <v>15</v>
      </c>
      <c r="F2020" t="s">
        <v>21</v>
      </c>
      <c r="G2020" t="s">
        <v>106</v>
      </c>
      <c r="I2020" t="s">
        <v>12</v>
      </c>
      <c r="J2020" t="s">
        <v>12</v>
      </c>
      <c r="K2020" t="s">
        <v>12</v>
      </c>
      <c r="L2020" t="s">
        <v>542</v>
      </c>
      <c r="M2020" t="s">
        <v>922</v>
      </c>
      <c r="O2020">
        <v>37</v>
      </c>
      <c r="DH2020">
        <v>1</v>
      </c>
    </row>
    <row r="2021" spans="1:204" x14ac:dyDescent="0.25">
      <c r="A2021" t="s">
        <v>247</v>
      </c>
      <c r="B2021" t="s">
        <v>116</v>
      </c>
      <c r="C2021" s="3">
        <f t="shared" si="58"/>
        <v>41.043055555555554</v>
      </c>
      <c r="D2021" s="3">
        <f t="shared" si="59"/>
        <v>29</v>
      </c>
      <c r="E2021" t="s">
        <v>15</v>
      </c>
      <c r="F2021" t="s">
        <v>21</v>
      </c>
      <c r="G2021" t="s">
        <v>106</v>
      </c>
      <c r="I2021" t="s">
        <v>12</v>
      </c>
      <c r="J2021" t="s">
        <v>12</v>
      </c>
      <c r="K2021" t="s">
        <v>12</v>
      </c>
      <c r="L2021" t="s">
        <v>542</v>
      </c>
      <c r="M2021" t="s">
        <v>922</v>
      </c>
      <c r="O2021">
        <v>11</v>
      </c>
      <c r="DI2021">
        <v>1</v>
      </c>
    </row>
    <row r="2022" spans="1:204" x14ac:dyDescent="0.25">
      <c r="A2022" t="s">
        <v>247</v>
      </c>
      <c r="B2022" t="s">
        <v>116</v>
      </c>
      <c r="C2022" s="3">
        <f t="shared" si="58"/>
        <v>41.043055555555554</v>
      </c>
      <c r="D2022" s="3">
        <f t="shared" si="59"/>
        <v>29</v>
      </c>
      <c r="E2022" t="s">
        <v>15</v>
      </c>
      <c r="F2022" t="s">
        <v>21</v>
      </c>
      <c r="G2022" t="s">
        <v>106</v>
      </c>
      <c r="I2022" t="s">
        <v>12</v>
      </c>
      <c r="J2022" t="s">
        <v>12</v>
      </c>
      <c r="K2022" t="s">
        <v>12</v>
      </c>
      <c r="L2022" t="s">
        <v>542</v>
      </c>
      <c r="M2022" t="s">
        <v>922</v>
      </c>
      <c r="O2022">
        <v>16</v>
      </c>
      <c r="DJ2022">
        <v>1</v>
      </c>
    </row>
    <row r="2023" spans="1:204" x14ac:dyDescent="0.25">
      <c r="A2023" t="s">
        <v>247</v>
      </c>
      <c r="B2023" t="s">
        <v>116</v>
      </c>
      <c r="C2023" s="3">
        <f t="shared" si="58"/>
        <v>41.043055555555554</v>
      </c>
      <c r="D2023" s="3">
        <f t="shared" si="59"/>
        <v>29</v>
      </c>
      <c r="E2023" t="s">
        <v>15</v>
      </c>
      <c r="F2023" t="s">
        <v>21</v>
      </c>
      <c r="G2023" t="s">
        <v>106</v>
      </c>
      <c r="I2023" t="s">
        <v>12</v>
      </c>
      <c r="J2023" t="s">
        <v>12</v>
      </c>
      <c r="K2023" t="s">
        <v>12</v>
      </c>
      <c r="L2023" t="s">
        <v>542</v>
      </c>
      <c r="M2023" t="s">
        <v>922</v>
      </c>
      <c r="O2023">
        <v>19</v>
      </c>
      <c r="DK2023">
        <v>1</v>
      </c>
    </row>
    <row r="2024" spans="1:204" x14ac:dyDescent="0.25">
      <c r="A2024" t="s">
        <v>247</v>
      </c>
      <c r="B2024" t="s">
        <v>116</v>
      </c>
      <c r="C2024" s="3">
        <f t="shared" si="58"/>
        <v>41.043055555555554</v>
      </c>
      <c r="D2024" s="3">
        <f t="shared" si="59"/>
        <v>29</v>
      </c>
      <c r="E2024" t="s">
        <v>15</v>
      </c>
      <c r="F2024" t="s">
        <v>21</v>
      </c>
      <c r="G2024" t="s">
        <v>106</v>
      </c>
      <c r="I2024" t="s">
        <v>12</v>
      </c>
      <c r="J2024" t="s">
        <v>12</v>
      </c>
      <c r="K2024" t="s">
        <v>12</v>
      </c>
      <c r="L2024" t="s">
        <v>542</v>
      </c>
      <c r="M2024" t="s">
        <v>922</v>
      </c>
      <c r="O2024">
        <v>25</v>
      </c>
      <c r="DL2024">
        <v>1</v>
      </c>
    </row>
    <row r="2025" spans="1:204" x14ac:dyDescent="0.25">
      <c r="A2025" t="s">
        <v>247</v>
      </c>
      <c r="B2025" t="s">
        <v>116</v>
      </c>
      <c r="C2025" s="3">
        <f t="shared" si="58"/>
        <v>41.043055555555554</v>
      </c>
      <c r="D2025" s="3">
        <f t="shared" si="59"/>
        <v>29</v>
      </c>
      <c r="E2025" t="s">
        <v>15</v>
      </c>
      <c r="F2025" t="s">
        <v>21</v>
      </c>
      <c r="G2025" t="s">
        <v>106</v>
      </c>
      <c r="I2025" t="s">
        <v>12</v>
      </c>
      <c r="J2025" t="s">
        <v>12</v>
      </c>
      <c r="K2025" t="s">
        <v>12</v>
      </c>
      <c r="L2025" t="s">
        <v>542</v>
      </c>
      <c r="M2025" t="s">
        <v>922</v>
      </c>
      <c r="O2025">
        <v>17</v>
      </c>
      <c r="DM2025">
        <v>1</v>
      </c>
    </row>
    <row r="2026" spans="1:204" x14ac:dyDescent="0.25">
      <c r="A2026" t="s">
        <v>247</v>
      </c>
      <c r="B2026" t="s">
        <v>116</v>
      </c>
      <c r="C2026" s="3">
        <f t="shared" si="58"/>
        <v>41.043055555555554</v>
      </c>
      <c r="D2026" s="3">
        <f t="shared" si="59"/>
        <v>29</v>
      </c>
      <c r="E2026" t="s">
        <v>15</v>
      </c>
      <c r="F2026" t="s">
        <v>21</v>
      </c>
      <c r="G2026" t="s">
        <v>106</v>
      </c>
      <c r="I2026" t="s">
        <v>12</v>
      </c>
      <c r="J2026" t="s">
        <v>12</v>
      </c>
      <c r="K2026" t="s">
        <v>12</v>
      </c>
      <c r="L2026" t="s">
        <v>542</v>
      </c>
      <c r="M2026" t="s">
        <v>922</v>
      </c>
      <c r="O2026">
        <v>25</v>
      </c>
      <c r="DN2026">
        <v>1</v>
      </c>
    </row>
    <row r="2027" spans="1:204" x14ac:dyDescent="0.25">
      <c r="A2027" t="s">
        <v>247</v>
      </c>
      <c r="B2027" t="s">
        <v>116</v>
      </c>
      <c r="C2027" s="3">
        <f t="shared" si="58"/>
        <v>41.043055555555554</v>
      </c>
      <c r="D2027" s="3">
        <f t="shared" si="59"/>
        <v>29</v>
      </c>
      <c r="E2027" t="s">
        <v>15</v>
      </c>
      <c r="F2027" t="s">
        <v>21</v>
      </c>
      <c r="G2027" t="s">
        <v>106</v>
      </c>
      <c r="I2027" t="s">
        <v>12</v>
      </c>
      <c r="J2027" t="s">
        <v>12</v>
      </c>
      <c r="K2027" t="s">
        <v>12</v>
      </c>
      <c r="L2027" t="s">
        <v>542</v>
      </c>
      <c r="M2027" t="s">
        <v>922</v>
      </c>
      <c r="O2027">
        <v>12</v>
      </c>
      <c r="DO2027">
        <v>1</v>
      </c>
    </row>
    <row r="2028" spans="1:204" x14ac:dyDescent="0.25">
      <c r="A2028" t="s">
        <v>247</v>
      </c>
      <c r="B2028" t="s">
        <v>116</v>
      </c>
      <c r="C2028" s="3">
        <v>40.99</v>
      </c>
      <c r="D2028" s="3">
        <v>28.83</v>
      </c>
      <c r="E2028" t="s">
        <v>34</v>
      </c>
      <c r="F2028" t="s">
        <v>34</v>
      </c>
      <c r="G2028" t="s">
        <v>106</v>
      </c>
      <c r="I2028" t="s">
        <v>12</v>
      </c>
      <c r="J2028" t="s">
        <v>12</v>
      </c>
      <c r="K2028" t="s">
        <v>15</v>
      </c>
      <c r="L2028" t="s">
        <v>381</v>
      </c>
      <c r="M2028" t="s">
        <v>1006</v>
      </c>
      <c r="O2028">
        <v>40.5</v>
      </c>
      <c r="P2028">
        <v>13.7</v>
      </c>
      <c r="GG2028">
        <v>1</v>
      </c>
    </row>
    <row r="2029" spans="1:204" x14ac:dyDescent="0.25">
      <c r="A2029" t="s">
        <v>247</v>
      </c>
      <c r="B2029" t="s">
        <v>116</v>
      </c>
      <c r="C2029" s="3">
        <v>41.06</v>
      </c>
      <c r="D2029" s="3">
        <v>29.02</v>
      </c>
      <c r="E2029" t="s">
        <v>34</v>
      </c>
      <c r="F2029" t="s">
        <v>21</v>
      </c>
      <c r="G2029" t="s">
        <v>46</v>
      </c>
      <c r="I2029" t="s">
        <v>12</v>
      </c>
      <c r="J2029" t="s">
        <v>12</v>
      </c>
      <c r="K2029" t="s">
        <v>12</v>
      </c>
      <c r="L2029" t="s">
        <v>380</v>
      </c>
      <c r="M2029" t="s">
        <v>1008</v>
      </c>
      <c r="O2029">
        <f>AVERAGE(36.22,27.54,32.5,22.22,31.25)</f>
        <v>29.945999999999998</v>
      </c>
      <c r="GG2029">
        <v>1</v>
      </c>
      <c r="GH2029">
        <v>1</v>
      </c>
      <c r="GI2029">
        <v>1</v>
      </c>
      <c r="GJ2029">
        <v>1</v>
      </c>
      <c r="GK2029">
        <v>1</v>
      </c>
      <c r="GL2029">
        <v>1</v>
      </c>
      <c r="GM2029">
        <v>1</v>
      </c>
      <c r="GN2029">
        <v>1</v>
      </c>
    </row>
    <row r="2030" spans="1:204" x14ac:dyDescent="0.25">
      <c r="A2030" t="s">
        <v>247</v>
      </c>
      <c r="B2030" t="s">
        <v>116</v>
      </c>
      <c r="C2030" s="3">
        <f>41+14/60</f>
        <v>41.233333333333334</v>
      </c>
      <c r="D2030" s="3">
        <f>29+48/3600</f>
        <v>29.013333333333332</v>
      </c>
      <c r="E2030" t="s">
        <v>15</v>
      </c>
      <c r="F2030" t="s">
        <v>20</v>
      </c>
      <c r="G2030" t="s">
        <v>106</v>
      </c>
      <c r="I2030" t="s">
        <v>12</v>
      </c>
      <c r="J2030" t="s">
        <v>12</v>
      </c>
      <c r="K2030" t="s">
        <v>12</v>
      </c>
      <c r="L2030" t="s">
        <v>325</v>
      </c>
      <c r="M2030" t="s">
        <v>1034</v>
      </c>
      <c r="O2030">
        <f>AVERAGE(25.7,36.7,31.3,32.3)/100*16.8</f>
        <v>5.2920000000000007</v>
      </c>
      <c r="FW2030">
        <v>0.5</v>
      </c>
      <c r="FX2030">
        <v>0.5</v>
      </c>
      <c r="FY2030">
        <v>0.5</v>
      </c>
      <c r="FZ2030">
        <v>0.5</v>
      </c>
      <c r="GA2030">
        <v>0.5</v>
      </c>
      <c r="GB2030">
        <v>0.5</v>
      </c>
      <c r="GC2030">
        <v>0.5</v>
      </c>
      <c r="GD2030">
        <v>0.5</v>
      </c>
      <c r="GE2030">
        <v>0.5</v>
      </c>
      <c r="GF2030">
        <v>0.5</v>
      </c>
      <c r="GG2030">
        <v>0.5</v>
      </c>
      <c r="GH2030">
        <v>0.5</v>
      </c>
      <c r="GI2030">
        <v>0.5</v>
      </c>
      <c r="GJ2030">
        <v>0.5</v>
      </c>
      <c r="GK2030">
        <v>0.5</v>
      </c>
      <c r="GL2030">
        <v>0.5</v>
      </c>
      <c r="GM2030">
        <v>0.5</v>
      </c>
      <c r="GN2030">
        <v>0.5</v>
      </c>
      <c r="GO2030">
        <v>0.5</v>
      </c>
      <c r="GP2030">
        <v>0.5</v>
      </c>
      <c r="GQ2030">
        <v>0.5</v>
      </c>
      <c r="GR2030">
        <v>0.5</v>
      </c>
      <c r="GS2030">
        <v>0.5</v>
      </c>
      <c r="GT2030">
        <v>0.5</v>
      </c>
      <c r="GU2030">
        <v>0.5</v>
      </c>
      <c r="GV2030">
        <v>0.5</v>
      </c>
    </row>
    <row r="2031" spans="1:204" x14ac:dyDescent="0.25">
      <c r="A2031" t="s">
        <v>247</v>
      </c>
      <c r="B2031" t="s">
        <v>116</v>
      </c>
      <c r="C2031" s="3">
        <f>41+3/60+48/3600</f>
        <v>41.063333333333333</v>
      </c>
      <c r="D2031" s="3">
        <f>29+3/60+52/3600</f>
        <v>29.064444444444444</v>
      </c>
      <c r="E2031" t="s">
        <v>15</v>
      </c>
      <c r="F2031" t="s">
        <v>21</v>
      </c>
      <c r="G2031" t="s">
        <v>106</v>
      </c>
      <c r="I2031" t="s">
        <v>12</v>
      </c>
      <c r="J2031" t="s">
        <v>12</v>
      </c>
      <c r="K2031" t="s">
        <v>12</v>
      </c>
      <c r="L2031" t="s">
        <v>325</v>
      </c>
      <c r="M2031" t="s">
        <v>1034</v>
      </c>
      <c r="O2031">
        <f>AVERAGE(45.1,42.4,48.5,48.2)/100*21.5</f>
        <v>9.9007499999999986</v>
      </c>
      <c r="FW2031">
        <v>0.5</v>
      </c>
      <c r="FX2031">
        <v>0.5</v>
      </c>
      <c r="FY2031">
        <v>0.5</v>
      </c>
      <c r="FZ2031">
        <v>0.5</v>
      </c>
      <c r="GA2031">
        <v>0.5</v>
      </c>
      <c r="GB2031">
        <v>0.5</v>
      </c>
      <c r="GC2031">
        <v>0.5</v>
      </c>
      <c r="GD2031">
        <v>0.5</v>
      </c>
      <c r="GE2031">
        <v>0.5</v>
      </c>
      <c r="GF2031">
        <v>0.5</v>
      </c>
      <c r="GG2031">
        <v>0.5</v>
      </c>
      <c r="GH2031">
        <v>0.5</v>
      </c>
      <c r="GI2031">
        <v>0.5</v>
      </c>
      <c r="GJ2031">
        <v>0.5</v>
      </c>
      <c r="GK2031">
        <v>0.5</v>
      </c>
      <c r="GL2031">
        <v>0.5</v>
      </c>
      <c r="GM2031">
        <v>0.5</v>
      </c>
      <c r="GN2031">
        <v>0.5</v>
      </c>
      <c r="GO2031">
        <v>0.5</v>
      </c>
      <c r="GP2031">
        <v>0.5</v>
      </c>
      <c r="GQ2031">
        <v>0.5</v>
      </c>
      <c r="GR2031">
        <v>0.5</v>
      </c>
      <c r="GS2031">
        <v>0.5</v>
      </c>
      <c r="GT2031">
        <v>0.5</v>
      </c>
      <c r="GU2031">
        <v>0.5</v>
      </c>
      <c r="GV2031">
        <v>0.5</v>
      </c>
    </row>
    <row r="2032" spans="1:204" x14ac:dyDescent="0.25">
      <c r="A2032" t="s">
        <v>247</v>
      </c>
      <c r="B2032" t="s">
        <v>116</v>
      </c>
      <c r="C2032" s="3">
        <f>40+59/60+21/3600</f>
        <v>40.989166666666669</v>
      </c>
      <c r="D2032" s="3">
        <f>28+43/60+19/3600</f>
        <v>28.721944444444443</v>
      </c>
      <c r="E2032" t="s">
        <v>15</v>
      </c>
      <c r="F2032" t="s">
        <v>77</v>
      </c>
      <c r="G2032" t="s">
        <v>106</v>
      </c>
      <c r="I2032" t="s">
        <v>12</v>
      </c>
      <c r="J2032" t="s">
        <v>12</v>
      </c>
      <c r="K2032" t="s">
        <v>12</v>
      </c>
      <c r="L2032" t="s">
        <v>325</v>
      </c>
      <c r="M2032" t="s">
        <v>1034</v>
      </c>
      <c r="O2032">
        <f>AVERAGE(30.4,22.7,34.8,38.5)/100*28.6</f>
        <v>9.0376000000000012</v>
      </c>
      <c r="FW2032">
        <v>0.5</v>
      </c>
      <c r="FX2032">
        <v>0.5</v>
      </c>
      <c r="FY2032">
        <v>0.5</v>
      </c>
      <c r="FZ2032">
        <v>0.5</v>
      </c>
      <c r="GA2032">
        <v>0.5</v>
      </c>
      <c r="GB2032">
        <v>0.5</v>
      </c>
      <c r="GC2032">
        <v>0.5</v>
      </c>
      <c r="GD2032">
        <v>0.5</v>
      </c>
      <c r="GE2032">
        <v>0.5</v>
      </c>
      <c r="GF2032">
        <v>0.5</v>
      </c>
      <c r="GG2032">
        <v>0.5</v>
      </c>
      <c r="GH2032">
        <v>0.5</v>
      </c>
      <c r="GI2032">
        <v>0.5</v>
      </c>
      <c r="GJ2032">
        <v>0.5</v>
      </c>
      <c r="GK2032">
        <v>0.5</v>
      </c>
      <c r="GL2032">
        <v>0.5</v>
      </c>
      <c r="GM2032">
        <v>0.5</v>
      </c>
      <c r="GN2032">
        <v>0.5</v>
      </c>
      <c r="GO2032">
        <v>0.5</v>
      </c>
      <c r="GP2032">
        <v>0.5</v>
      </c>
      <c r="GQ2032">
        <v>0.5</v>
      </c>
      <c r="GR2032">
        <v>0.5</v>
      </c>
      <c r="GS2032">
        <v>0.5</v>
      </c>
      <c r="GT2032">
        <v>0.5</v>
      </c>
      <c r="GU2032">
        <v>0.5</v>
      </c>
      <c r="GV2032">
        <v>0.5</v>
      </c>
    </row>
    <row r="2033" spans="1:213" x14ac:dyDescent="0.25">
      <c r="A2033" t="s">
        <v>247</v>
      </c>
      <c r="B2033" t="s">
        <v>116</v>
      </c>
      <c r="C2033" s="3">
        <f>41+3/60+6/3600</f>
        <v>41.051666666666662</v>
      </c>
      <c r="D2033" s="3">
        <f>29+35/3600</f>
        <v>29.009722222222223</v>
      </c>
      <c r="E2033" t="s">
        <v>15</v>
      </c>
      <c r="F2033" t="s">
        <v>77</v>
      </c>
      <c r="G2033" t="s">
        <v>106</v>
      </c>
      <c r="I2033" t="s">
        <v>12</v>
      </c>
      <c r="J2033" t="s">
        <v>12</v>
      </c>
      <c r="K2033" t="s">
        <v>12</v>
      </c>
      <c r="L2033" t="s">
        <v>325</v>
      </c>
      <c r="M2033" t="s">
        <v>1034</v>
      </c>
      <c r="O2033">
        <f>AVERAGE(38.7,29.1,39.7,38.3)/100*34.8</f>
        <v>12.684600000000001</v>
      </c>
      <c r="FW2033">
        <v>0.5</v>
      </c>
      <c r="FX2033">
        <v>0.5</v>
      </c>
      <c r="FY2033">
        <v>0.5</v>
      </c>
      <c r="FZ2033">
        <v>0.5</v>
      </c>
      <c r="GA2033">
        <v>0.5</v>
      </c>
      <c r="GB2033">
        <v>0.5</v>
      </c>
      <c r="GC2033">
        <v>0.5</v>
      </c>
      <c r="GD2033">
        <v>0.5</v>
      </c>
      <c r="GE2033">
        <v>0.5</v>
      </c>
      <c r="GF2033">
        <v>0.5</v>
      </c>
      <c r="GG2033">
        <v>0.5</v>
      </c>
      <c r="GH2033">
        <v>0.5</v>
      </c>
      <c r="GI2033">
        <v>0.5</v>
      </c>
      <c r="GJ2033">
        <v>0.5</v>
      </c>
      <c r="GK2033">
        <v>0.5</v>
      </c>
      <c r="GL2033">
        <v>0.5</v>
      </c>
      <c r="GM2033">
        <v>0.5</v>
      </c>
      <c r="GN2033">
        <v>0.5</v>
      </c>
      <c r="GO2033">
        <v>0.5</v>
      </c>
      <c r="GP2033">
        <v>0.5</v>
      </c>
      <c r="GQ2033">
        <v>0.5</v>
      </c>
      <c r="GR2033">
        <v>0.5</v>
      </c>
      <c r="GS2033">
        <v>0.5</v>
      </c>
      <c r="GT2033">
        <v>0.5</v>
      </c>
      <c r="GU2033">
        <v>0.5</v>
      </c>
      <c r="GV2033">
        <v>0.5</v>
      </c>
    </row>
    <row r="2034" spans="1:213" x14ac:dyDescent="0.25">
      <c r="A2034" t="s">
        <v>247</v>
      </c>
      <c r="B2034" t="s">
        <v>116</v>
      </c>
      <c r="C2034" s="3">
        <f>40+59/60+47/3600</f>
        <v>40.996388888888887</v>
      </c>
      <c r="D2034" s="3">
        <f>29+3/60+58/3600</f>
        <v>29.066111111111113</v>
      </c>
      <c r="E2034" t="s">
        <v>15</v>
      </c>
      <c r="F2034" t="s">
        <v>77</v>
      </c>
      <c r="G2034" t="s">
        <v>106</v>
      </c>
      <c r="I2034" t="s">
        <v>12</v>
      </c>
      <c r="J2034" t="s">
        <v>12</v>
      </c>
      <c r="K2034" t="s">
        <v>12</v>
      </c>
      <c r="L2034" t="s">
        <v>325</v>
      </c>
      <c r="M2034" t="s">
        <v>1034</v>
      </c>
      <c r="O2034">
        <f>AVERAGE(34.3,25.1,51.1,33.2)/100*48.6</f>
        <v>17.45955</v>
      </c>
      <c r="FW2034">
        <v>0.5</v>
      </c>
      <c r="FX2034">
        <v>0.5</v>
      </c>
      <c r="FY2034">
        <v>0.5</v>
      </c>
      <c r="FZ2034">
        <v>0.5</v>
      </c>
      <c r="GA2034">
        <v>0.5</v>
      </c>
      <c r="GB2034">
        <v>0.5</v>
      </c>
      <c r="GC2034">
        <v>0.5</v>
      </c>
      <c r="GD2034">
        <v>0.5</v>
      </c>
      <c r="GE2034">
        <v>0.5</v>
      </c>
      <c r="GF2034">
        <v>0.5</v>
      </c>
      <c r="GG2034">
        <v>0.5</v>
      </c>
      <c r="GH2034">
        <v>0.5</v>
      </c>
      <c r="GI2034">
        <v>0.5</v>
      </c>
      <c r="GJ2034">
        <v>0.5</v>
      </c>
      <c r="GK2034">
        <v>0.5</v>
      </c>
      <c r="GL2034">
        <v>0.5</v>
      </c>
      <c r="GM2034">
        <v>0.5</v>
      </c>
      <c r="GN2034">
        <v>0.5</v>
      </c>
      <c r="GO2034">
        <v>0.5</v>
      </c>
      <c r="GP2034">
        <v>0.5</v>
      </c>
      <c r="GQ2034">
        <v>0.5</v>
      </c>
      <c r="GR2034">
        <v>0.5</v>
      </c>
      <c r="GS2034">
        <v>0.5</v>
      </c>
      <c r="GT2034">
        <v>0.5</v>
      </c>
      <c r="GU2034">
        <v>0.5</v>
      </c>
      <c r="GV2034">
        <v>0.5</v>
      </c>
    </row>
    <row r="2035" spans="1:213" x14ac:dyDescent="0.25">
      <c r="A2035" t="s">
        <v>247</v>
      </c>
      <c r="B2035" t="s">
        <v>116</v>
      </c>
      <c r="C2035" s="3">
        <f>41+6.5/60</f>
        <v>41.108333333333334</v>
      </c>
      <c r="D2035" s="3">
        <f>29+1.7/60</f>
        <v>29.028333333333332</v>
      </c>
      <c r="E2035" t="s">
        <v>15</v>
      </c>
      <c r="F2035" t="s">
        <v>34</v>
      </c>
      <c r="G2035" t="s">
        <v>76</v>
      </c>
      <c r="I2035" t="s">
        <v>12</v>
      </c>
      <c r="J2035" t="s">
        <v>12</v>
      </c>
      <c r="K2035" t="s">
        <v>15</v>
      </c>
      <c r="L2035" t="s">
        <v>249</v>
      </c>
      <c r="M2035" t="s">
        <v>1066</v>
      </c>
      <c r="O2035">
        <v>40</v>
      </c>
      <c r="GT2035">
        <v>1</v>
      </c>
      <c r="GU2035">
        <v>1</v>
      </c>
      <c r="GV2035">
        <v>1</v>
      </c>
      <c r="GW2035">
        <v>1</v>
      </c>
      <c r="GX2035">
        <v>1</v>
      </c>
      <c r="GY2035">
        <v>1</v>
      </c>
      <c r="GZ2035">
        <v>1</v>
      </c>
      <c r="HA2035">
        <v>1</v>
      </c>
      <c r="HB2035">
        <v>1</v>
      </c>
      <c r="HC2035">
        <v>1</v>
      </c>
      <c r="HD2035">
        <v>1</v>
      </c>
      <c r="HE2035">
        <v>1</v>
      </c>
    </row>
    <row r="2036" spans="1:213" x14ac:dyDescent="0.25">
      <c r="A2036" t="s">
        <v>115</v>
      </c>
      <c r="B2036" t="s">
        <v>116</v>
      </c>
      <c r="C2036" s="3">
        <v>38.365000000000002</v>
      </c>
      <c r="D2036" s="3">
        <v>27.225000000000001</v>
      </c>
      <c r="E2036" t="s">
        <v>34</v>
      </c>
      <c r="F2036" t="s">
        <v>21</v>
      </c>
      <c r="G2036" t="s">
        <v>95</v>
      </c>
      <c r="I2036" t="s">
        <v>12</v>
      </c>
      <c r="J2036" t="s">
        <v>12</v>
      </c>
      <c r="K2036" t="s">
        <v>15</v>
      </c>
      <c r="L2036" t="s">
        <v>117</v>
      </c>
      <c r="M2036" t="s">
        <v>1117</v>
      </c>
      <c r="O2036">
        <v>24.1</v>
      </c>
      <c r="P2036">
        <v>12.2</v>
      </c>
      <c r="DZ2036">
        <v>1</v>
      </c>
      <c r="EA2036">
        <v>1</v>
      </c>
      <c r="EB2036">
        <v>1</v>
      </c>
      <c r="EC2036">
        <v>1</v>
      </c>
      <c r="ED2036">
        <v>1</v>
      </c>
      <c r="EE2036">
        <v>1</v>
      </c>
      <c r="EF2036">
        <v>1</v>
      </c>
      <c r="EG2036">
        <v>1</v>
      </c>
      <c r="EH2036">
        <v>1</v>
      </c>
      <c r="EI2036">
        <v>1</v>
      </c>
      <c r="EJ2036">
        <v>1</v>
      </c>
      <c r="EK2036">
        <v>1</v>
      </c>
    </row>
    <row r="2037" spans="1:213" x14ac:dyDescent="0.25">
      <c r="A2037" t="s">
        <v>115</v>
      </c>
      <c r="B2037" t="s">
        <v>116</v>
      </c>
      <c r="C2037" s="3">
        <v>38.4</v>
      </c>
      <c r="D2037" s="3">
        <v>27.14</v>
      </c>
      <c r="E2037" t="s">
        <v>34</v>
      </c>
      <c r="F2037" t="s">
        <v>77</v>
      </c>
      <c r="G2037" t="s">
        <v>95</v>
      </c>
      <c r="I2037" t="s">
        <v>12</v>
      </c>
      <c r="J2037" t="s">
        <v>12</v>
      </c>
      <c r="K2037" t="s">
        <v>15</v>
      </c>
      <c r="L2037" t="s">
        <v>117</v>
      </c>
      <c r="M2037" t="s">
        <v>1117</v>
      </c>
      <c r="O2037">
        <v>64.400000000000006</v>
      </c>
      <c r="P2037">
        <v>38.5</v>
      </c>
      <c r="DZ2037">
        <v>1</v>
      </c>
      <c r="EA2037">
        <v>1</v>
      </c>
      <c r="EB2037">
        <v>1</v>
      </c>
      <c r="EC2037">
        <v>1</v>
      </c>
      <c r="ED2037">
        <v>1</v>
      </c>
      <c r="EE2037">
        <v>1</v>
      </c>
      <c r="EF2037">
        <v>1</v>
      </c>
      <c r="EG2037">
        <v>1</v>
      </c>
      <c r="EH2037">
        <v>1</v>
      </c>
      <c r="EI2037">
        <v>1</v>
      </c>
      <c r="EJ2037">
        <v>1</v>
      </c>
      <c r="EK2037">
        <v>1</v>
      </c>
    </row>
    <row r="2038" spans="1:213" x14ac:dyDescent="0.25">
      <c r="A2038" t="s">
        <v>641</v>
      </c>
      <c r="B2038" t="s">
        <v>631</v>
      </c>
      <c r="C2038" s="3">
        <f>24+14/60+53/3600</f>
        <v>24.248055555555556</v>
      </c>
      <c r="D2038" s="3">
        <f>54+32/60+51/3600</f>
        <v>54.547499999999999</v>
      </c>
      <c r="E2038" t="s">
        <v>12</v>
      </c>
      <c r="F2038" t="s">
        <v>9</v>
      </c>
      <c r="G2038" t="s">
        <v>106</v>
      </c>
      <c r="I2038" t="s">
        <v>12</v>
      </c>
      <c r="J2038" t="s">
        <v>12</v>
      </c>
      <c r="K2038" t="s">
        <v>15</v>
      </c>
      <c r="L2038" t="s">
        <v>625</v>
      </c>
      <c r="M2038" t="s">
        <v>788</v>
      </c>
      <c r="O2038">
        <v>140</v>
      </c>
      <c r="ET2038">
        <v>0.5</v>
      </c>
      <c r="EU2038">
        <v>1</v>
      </c>
      <c r="EV2038">
        <v>1</v>
      </c>
      <c r="EW2038">
        <v>1</v>
      </c>
      <c r="EX2038">
        <v>1</v>
      </c>
      <c r="EY2038">
        <v>1</v>
      </c>
      <c r="EZ2038">
        <v>1</v>
      </c>
      <c r="FA2038">
        <v>1</v>
      </c>
      <c r="FB2038">
        <v>1</v>
      </c>
      <c r="FC2038">
        <v>1</v>
      </c>
      <c r="FD2038">
        <v>1</v>
      </c>
      <c r="FE2038">
        <v>1</v>
      </c>
      <c r="FF2038">
        <v>0.5</v>
      </c>
    </row>
    <row r="2039" spans="1:213" x14ac:dyDescent="0.25">
      <c r="A2039" t="s">
        <v>245</v>
      </c>
      <c r="B2039" t="s">
        <v>243</v>
      </c>
      <c r="C2039" s="3">
        <v>20.93</v>
      </c>
      <c r="D2039" s="3">
        <v>105.84</v>
      </c>
      <c r="E2039" t="s">
        <v>12</v>
      </c>
      <c r="F2039" t="s">
        <v>77</v>
      </c>
      <c r="G2039" t="s">
        <v>106</v>
      </c>
      <c r="I2039" t="s">
        <v>12</v>
      </c>
      <c r="J2039" t="s">
        <v>12</v>
      </c>
      <c r="K2039" t="s">
        <v>12</v>
      </c>
      <c r="L2039" t="s">
        <v>244</v>
      </c>
      <c r="M2039" t="s">
        <v>895</v>
      </c>
      <c r="O2039">
        <v>51.5</v>
      </c>
      <c r="P2039">
        <v>28.5</v>
      </c>
      <c r="BJ2039">
        <v>1</v>
      </c>
      <c r="BK2039">
        <v>1</v>
      </c>
      <c r="BL2039">
        <v>1</v>
      </c>
      <c r="BM2039">
        <v>1</v>
      </c>
      <c r="BN2039">
        <v>1</v>
      </c>
      <c r="BO2039">
        <v>1</v>
      </c>
    </row>
    <row r="2040" spans="1:213" x14ac:dyDescent="0.25">
      <c r="A2040" t="s">
        <v>245</v>
      </c>
      <c r="B2040" t="s">
        <v>243</v>
      </c>
      <c r="C2040" s="3">
        <v>20.93</v>
      </c>
      <c r="D2040" s="3">
        <v>105.84</v>
      </c>
      <c r="E2040" t="s">
        <v>12</v>
      </c>
      <c r="F2040" t="s">
        <v>77</v>
      </c>
      <c r="G2040" t="s">
        <v>106</v>
      </c>
      <c r="I2040" t="s">
        <v>12</v>
      </c>
      <c r="J2040" t="s">
        <v>12</v>
      </c>
      <c r="K2040" t="s">
        <v>12</v>
      </c>
      <c r="L2040" t="s">
        <v>244</v>
      </c>
      <c r="M2040" t="s">
        <v>895</v>
      </c>
      <c r="O2040">
        <v>18.899999999999999</v>
      </c>
      <c r="P2040">
        <v>8</v>
      </c>
      <c r="BQ2040">
        <v>1</v>
      </c>
      <c r="BR2040">
        <v>1</v>
      </c>
      <c r="BS2040">
        <v>1</v>
      </c>
    </row>
    <row r="2041" spans="1:213" x14ac:dyDescent="0.25">
      <c r="A2041" t="s">
        <v>242</v>
      </c>
      <c r="B2041" t="s">
        <v>243</v>
      </c>
      <c r="C2041" s="3">
        <f>10+47/60</f>
        <v>10.783333333333333</v>
      </c>
      <c r="D2041" s="3">
        <f>106+40/60</f>
        <v>106.66666666666667</v>
      </c>
      <c r="E2041" t="s">
        <v>12</v>
      </c>
      <c r="F2041" t="s">
        <v>77</v>
      </c>
      <c r="G2041" t="s">
        <v>106</v>
      </c>
      <c r="I2041" t="s">
        <v>12</v>
      </c>
      <c r="J2041" t="s">
        <v>12</v>
      </c>
      <c r="K2041" t="s">
        <v>15</v>
      </c>
      <c r="L2041" t="s">
        <v>897</v>
      </c>
      <c r="M2041" t="s">
        <v>896</v>
      </c>
      <c r="O2041">
        <v>16.11</v>
      </c>
      <c r="AJ2041">
        <v>1</v>
      </c>
      <c r="AK2041">
        <v>1</v>
      </c>
      <c r="AL2041">
        <v>1</v>
      </c>
      <c r="AM2041">
        <v>1</v>
      </c>
      <c r="AN2041">
        <v>1</v>
      </c>
      <c r="AO2041">
        <v>1</v>
      </c>
      <c r="AP2041">
        <v>1</v>
      </c>
      <c r="AQ2041">
        <v>1</v>
      </c>
      <c r="AR2041">
        <v>1</v>
      </c>
      <c r="AS2041">
        <v>1</v>
      </c>
      <c r="AT2041">
        <v>1</v>
      </c>
      <c r="AU2041">
        <v>1</v>
      </c>
      <c r="AV2041">
        <v>1</v>
      </c>
      <c r="AW2041">
        <v>1</v>
      </c>
      <c r="AX2041">
        <v>1</v>
      </c>
      <c r="AY2041">
        <v>1</v>
      </c>
      <c r="AZ2041">
        <v>1</v>
      </c>
      <c r="BA2041">
        <v>1</v>
      </c>
      <c r="BB2041">
        <v>1</v>
      </c>
      <c r="BC2041">
        <v>1</v>
      </c>
      <c r="BD2041">
        <v>1</v>
      </c>
      <c r="BE2041">
        <v>1</v>
      </c>
    </row>
    <row r="2042" spans="1:213" x14ac:dyDescent="0.25">
      <c r="A2042" t="s">
        <v>245</v>
      </c>
      <c r="B2042" t="s">
        <v>391</v>
      </c>
      <c r="C2042" s="3">
        <f t="shared" ref="C2042:C2054" si="60">21+1/60</f>
        <v>21.016666666666666</v>
      </c>
      <c r="D2042" s="3">
        <f t="shared" ref="D2042:D2054" si="61">105+51/60</f>
        <v>105.85</v>
      </c>
      <c r="E2042" t="s">
        <v>15</v>
      </c>
      <c r="F2042" t="s">
        <v>77</v>
      </c>
      <c r="G2042" t="s">
        <v>97</v>
      </c>
      <c r="I2042" t="s">
        <v>12</v>
      </c>
      <c r="J2042" t="s">
        <v>12</v>
      </c>
      <c r="K2042" t="s">
        <v>12</v>
      </c>
      <c r="L2042" t="s">
        <v>689</v>
      </c>
      <c r="M2042" t="s">
        <v>840</v>
      </c>
      <c r="O2042">
        <v>82</v>
      </c>
      <c r="CW2042">
        <v>1</v>
      </c>
      <c r="DI2042">
        <v>1</v>
      </c>
      <c r="DU2042">
        <v>1</v>
      </c>
      <c r="EG2042">
        <v>1</v>
      </c>
      <c r="ES2042">
        <v>1</v>
      </c>
      <c r="FE2042">
        <v>1</v>
      </c>
      <c r="FQ2042">
        <v>1</v>
      </c>
    </row>
    <row r="2043" spans="1:213" x14ac:dyDescent="0.25">
      <c r="A2043" t="s">
        <v>245</v>
      </c>
      <c r="B2043" t="s">
        <v>391</v>
      </c>
      <c r="C2043" s="3">
        <f t="shared" si="60"/>
        <v>21.016666666666666</v>
      </c>
      <c r="D2043" s="3">
        <f t="shared" si="61"/>
        <v>105.85</v>
      </c>
      <c r="E2043" t="s">
        <v>15</v>
      </c>
      <c r="F2043" t="s">
        <v>77</v>
      </c>
      <c r="G2043" t="s">
        <v>97</v>
      </c>
      <c r="I2043" t="s">
        <v>12</v>
      </c>
      <c r="J2043" t="s">
        <v>12</v>
      </c>
      <c r="K2043" t="s">
        <v>12</v>
      </c>
      <c r="L2043" t="s">
        <v>689</v>
      </c>
      <c r="M2043" t="s">
        <v>840</v>
      </c>
      <c r="O2043">
        <v>59</v>
      </c>
      <c r="CX2043">
        <v>1</v>
      </c>
      <c r="DJ2043">
        <v>1</v>
      </c>
      <c r="DV2043">
        <v>1</v>
      </c>
      <c r="EH2043">
        <v>1</v>
      </c>
      <c r="ET2043">
        <v>1</v>
      </c>
      <c r="FF2043">
        <v>1</v>
      </c>
      <c r="FR2043">
        <v>1</v>
      </c>
    </row>
    <row r="2044" spans="1:213" x14ac:dyDescent="0.25">
      <c r="A2044" t="s">
        <v>245</v>
      </c>
      <c r="B2044" t="s">
        <v>391</v>
      </c>
      <c r="C2044" s="3">
        <f t="shared" si="60"/>
        <v>21.016666666666666</v>
      </c>
      <c r="D2044" s="3">
        <f t="shared" si="61"/>
        <v>105.85</v>
      </c>
      <c r="E2044" t="s">
        <v>15</v>
      </c>
      <c r="F2044" t="s">
        <v>77</v>
      </c>
      <c r="G2044" t="s">
        <v>97</v>
      </c>
      <c r="I2044" t="s">
        <v>12</v>
      </c>
      <c r="J2044" t="s">
        <v>12</v>
      </c>
      <c r="K2044" t="s">
        <v>12</v>
      </c>
      <c r="L2044" t="s">
        <v>689</v>
      </c>
      <c r="M2044" t="s">
        <v>840</v>
      </c>
      <c r="O2044">
        <v>61</v>
      </c>
      <c r="CY2044">
        <v>1</v>
      </c>
      <c r="DK2044">
        <v>1</v>
      </c>
      <c r="DW2044">
        <v>1</v>
      </c>
      <c r="EI2044">
        <v>1</v>
      </c>
      <c r="EU2044">
        <v>1</v>
      </c>
      <c r="FG2044">
        <v>1</v>
      </c>
      <c r="FS2044">
        <v>1</v>
      </c>
    </row>
    <row r="2045" spans="1:213" x14ac:dyDescent="0.25">
      <c r="A2045" t="s">
        <v>245</v>
      </c>
      <c r="B2045" t="s">
        <v>391</v>
      </c>
      <c r="C2045" s="3">
        <f t="shared" si="60"/>
        <v>21.016666666666666</v>
      </c>
      <c r="D2045" s="3">
        <f t="shared" si="61"/>
        <v>105.85</v>
      </c>
      <c r="E2045" t="s">
        <v>15</v>
      </c>
      <c r="F2045" t="s">
        <v>77</v>
      </c>
      <c r="G2045" t="s">
        <v>97</v>
      </c>
      <c r="I2045" t="s">
        <v>12</v>
      </c>
      <c r="J2045" t="s">
        <v>12</v>
      </c>
      <c r="K2045" t="s">
        <v>12</v>
      </c>
      <c r="L2045" t="s">
        <v>689</v>
      </c>
      <c r="M2045" t="s">
        <v>840</v>
      </c>
      <c r="O2045">
        <v>48</v>
      </c>
      <c r="CN2045">
        <v>1</v>
      </c>
      <c r="CZ2045">
        <v>1</v>
      </c>
      <c r="DL2045">
        <v>1</v>
      </c>
      <c r="DX2045">
        <v>1</v>
      </c>
      <c r="EJ2045">
        <v>1</v>
      </c>
      <c r="EV2045">
        <v>1</v>
      </c>
      <c r="FH2045">
        <v>1</v>
      </c>
      <c r="FT2045">
        <v>1</v>
      </c>
    </row>
    <row r="2046" spans="1:213" x14ac:dyDescent="0.25">
      <c r="A2046" t="s">
        <v>245</v>
      </c>
      <c r="B2046" t="s">
        <v>391</v>
      </c>
      <c r="C2046" s="3">
        <f t="shared" si="60"/>
        <v>21.016666666666666</v>
      </c>
      <c r="D2046" s="3">
        <f t="shared" si="61"/>
        <v>105.85</v>
      </c>
      <c r="E2046" t="s">
        <v>15</v>
      </c>
      <c r="F2046" t="s">
        <v>77</v>
      </c>
      <c r="G2046" t="s">
        <v>97</v>
      </c>
      <c r="I2046" t="s">
        <v>12</v>
      </c>
      <c r="J2046" t="s">
        <v>12</v>
      </c>
      <c r="K2046" t="s">
        <v>12</v>
      </c>
      <c r="L2046" t="s">
        <v>689</v>
      </c>
      <c r="M2046" t="s">
        <v>840</v>
      </c>
      <c r="O2046">
        <v>36</v>
      </c>
      <c r="CO2046">
        <v>1</v>
      </c>
      <c r="DA2046">
        <v>1</v>
      </c>
      <c r="DM2046">
        <v>1</v>
      </c>
      <c r="DY2046">
        <v>1</v>
      </c>
      <c r="EK2046">
        <v>1</v>
      </c>
      <c r="EW2046">
        <v>1</v>
      </c>
      <c r="FI2046">
        <v>1</v>
      </c>
      <c r="FU2046">
        <v>1</v>
      </c>
    </row>
    <row r="2047" spans="1:213" x14ac:dyDescent="0.25">
      <c r="A2047" t="s">
        <v>245</v>
      </c>
      <c r="B2047" t="s">
        <v>391</v>
      </c>
      <c r="C2047" s="3">
        <f t="shared" si="60"/>
        <v>21.016666666666666</v>
      </c>
      <c r="D2047" s="3">
        <f t="shared" si="61"/>
        <v>105.85</v>
      </c>
      <c r="E2047" t="s">
        <v>15</v>
      </c>
      <c r="F2047" t="s">
        <v>77</v>
      </c>
      <c r="G2047" t="s">
        <v>97</v>
      </c>
      <c r="I2047" t="s">
        <v>12</v>
      </c>
      <c r="J2047" t="s">
        <v>12</v>
      </c>
      <c r="K2047" t="s">
        <v>12</v>
      </c>
      <c r="L2047" t="s">
        <v>689</v>
      </c>
      <c r="M2047" t="s">
        <v>840</v>
      </c>
      <c r="O2047">
        <v>36</v>
      </c>
      <c r="CP2047">
        <v>1</v>
      </c>
      <c r="DB2047">
        <v>1</v>
      </c>
      <c r="DN2047">
        <v>1</v>
      </c>
      <c r="DZ2047">
        <v>1</v>
      </c>
      <c r="EL2047">
        <v>1</v>
      </c>
      <c r="EX2047">
        <v>1</v>
      </c>
      <c r="FJ2047">
        <v>1</v>
      </c>
      <c r="FV2047">
        <v>1</v>
      </c>
    </row>
    <row r="2048" spans="1:213" x14ac:dyDescent="0.25">
      <c r="A2048" t="s">
        <v>245</v>
      </c>
      <c r="B2048" t="s">
        <v>391</v>
      </c>
      <c r="C2048" s="3">
        <f t="shared" si="60"/>
        <v>21.016666666666666</v>
      </c>
      <c r="D2048" s="3">
        <f t="shared" si="61"/>
        <v>105.85</v>
      </c>
      <c r="E2048" t="s">
        <v>15</v>
      </c>
      <c r="F2048" t="s">
        <v>77</v>
      </c>
      <c r="G2048" t="s">
        <v>97</v>
      </c>
      <c r="I2048" t="s">
        <v>12</v>
      </c>
      <c r="J2048" t="s">
        <v>12</v>
      </c>
      <c r="K2048" t="s">
        <v>12</v>
      </c>
      <c r="L2048" t="s">
        <v>689</v>
      </c>
      <c r="M2048" t="s">
        <v>840</v>
      </c>
      <c r="O2048">
        <v>28</v>
      </c>
      <c r="CQ2048">
        <v>1</v>
      </c>
      <c r="DC2048">
        <v>1</v>
      </c>
      <c r="DO2048">
        <v>1</v>
      </c>
      <c r="EA2048">
        <v>1</v>
      </c>
      <c r="EM2048">
        <v>1</v>
      </c>
      <c r="EY2048">
        <v>1</v>
      </c>
      <c r="FK2048">
        <v>1</v>
      </c>
      <c r="FW2048">
        <v>1</v>
      </c>
    </row>
    <row r="2049" spans="1:184" x14ac:dyDescent="0.25">
      <c r="A2049" t="s">
        <v>245</v>
      </c>
      <c r="B2049" t="s">
        <v>391</v>
      </c>
      <c r="C2049" s="3">
        <f t="shared" si="60"/>
        <v>21.016666666666666</v>
      </c>
      <c r="D2049" s="3">
        <f t="shared" si="61"/>
        <v>105.85</v>
      </c>
      <c r="E2049" t="s">
        <v>15</v>
      </c>
      <c r="F2049" t="s">
        <v>77</v>
      </c>
      <c r="G2049" t="s">
        <v>97</v>
      </c>
      <c r="I2049" t="s">
        <v>12</v>
      </c>
      <c r="J2049" t="s">
        <v>12</v>
      </c>
      <c r="K2049" t="s">
        <v>12</v>
      </c>
      <c r="L2049" t="s">
        <v>689</v>
      </c>
      <c r="M2049" t="s">
        <v>840</v>
      </c>
      <c r="O2049">
        <v>32</v>
      </c>
      <c r="CR2049">
        <v>1</v>
      </c>
      <c r="DD2049">
        <v>1</v>
      </c>
      <c r="DP2049">
        <v>1</v>
      </c>
      <c r="EB2049">
        <v>1</v>
      </c>
      <c r="EN2049">
        <v>1</v>
      </c>
      <c r="EZ2049">
        <v>1</v>
      </c>
      <c r="FL2049">
        <v>1</v>
      </c>
      <c r="FX2049">
        <v>1</v>
      </c>
    </row>
    <row r="2050" spans="1:184" x14ac:dyDescent="0.25">
      <c r="A2050" t="s">
        <v>245</v>
      </c>
      <c r="B2050" t="s">
        <v>391</v>
      </c>
      <c r="C2050" s="3">
        <f t="shared" si="60"/>
        <v>21.016666666666666</v>
      </c>
      <c r="D2050" s="3">
        <f t="shared" si="61"/>
        <v>105.85</v>
      </c>
      <c r="E2050" t="s">
        <v>15</v>
      </c>
      <c r="F2050" t="s">
        <v>77</v>
      </c>
      <c r="G2050" t="s">
        <v>97</v>
      </c>
      <c r="I2050" t="s">
        <v>12</v>
      </c>
      <c r="J2050" t="s">
        <v>12</v>
      </c>
      <c r="K2050" t="s">
        <v>12</v>
      </c>
      <c r="L2050" t="s">
        <v>689</v>
      </c>
      <c r="M2050" t="s">
        <v>840</v>
      </c>
      <c r="O2050">
        <v>50</v>
      </c>
      <c r="CS2050">
        <v>1</v>
      </c>
      <c r="DE2050">
        <v>1</v>
      </c>
      <c r="DQ2050">
        <v>1</v>
      </c>
      <c r="EC2050">
        <v>1</v>
      </c>
      <c r="EO2050">
        <v>1</v>
      </c>
      <c r="FA2050">
        <v>1</v>
      </c>
      <c r="FM2050">
        <v>1</v>
      </c>
      <c r="FY2050">
        <v>1</v>
      </c>
    </row>
    <row r="2051" spans="1:184" x14ac:dyDescent="0.25">
      <c r="A2051" t="s">
        <v>245</v>
      </c>
      <c r="B2051" t="s">
        <v>391</v>
      </c>
      <c r="C2051" s="3">
        <f t="shared" si="60"/>
        <v>21.016666666666666</v>
      </c>
      <c r="D2051" s="3">
        <f t="shared" si="61"/>
        <v>105.85</v>
      </c>
      <c r="E2051" t="s">
        <v>15</v>
      </c>
      <c r="F2051" t="s">
        <v>77</v>
      </c>
      <c r="G2051" t="s">
        <v>97</v>
      </c>
      <c r="I2051" t="s">
        <v>12</v>
      </c>
      <c r="J2051" t="s">
        <v>12</v>
      </c>
      <c r="K2051" t="s">
        <v>12</v>
      </c>
      <c r="L2051" t="s">
        <v>689</v>
      </c>
      <c r="M2051" t="s">
        <v>840</v>
      </c>
      <c r="O2051">
        <v>71</v>
      </c>
      <c r="CT2051">
        <v>1</v>
      </c>
      <c r="DF2051">
        <v>1</v>
      </c>
      <c r="DR2051">
        <v>1</v>
      </c>
      <c r="ED2051">
        <v>1</v>
      </c>
      <c r="EP2051">
        <v>1</v>
      </c>
      <c r="FB2051">
        <v>1</v>
      </c>
      <c r="FN2051">
        <v>1</v>
      </c>
      <c r="FZ2051">
        <v>1</v>
      </c>
    </row>
    <row r="2052" spans="1:184" x14ac:dyDescent="0.25">
      <c r="A2052" t="s">
        <v>245</v>
      </c>
      <c r="B2052" t="s">
        <v>391</v>
      </c>
      <c r="C2052" s="3">
        <f t="shared" si="60"/>
        <v>21.016666666666666</v>
      </c>
      <c r="D2052" s="3">
        <f t="shared" si="61"/>
        <v>105.85</v>
      </c>
      <c r="E2052" t="s">
        <v>15</v>
      </c>
      <c r="F2052" t="s">
        <v>77</v>
      </c>
      <c r="G2052" t="s">
        <v>97</v>
      </c>
      <c r="I2052" t="s">
        <v>12</v>
      </c>
      <c r="J2052" t="s">
        <v>12</v>
      </c>
      <c r="K2052" t="s">
        <v>12</v>
      </c>
      <c r="L2052" t="s">
        <v>689</v>
      </c>
      <c r="M2052" t="s">
        <v>840</v>
      </c>
      <c r="O2052">
        <v>74</v>
      </c>
      <c r="CU2052">
        <v>1</v>
      </c>
      <c r="DG2052">
        <v>1</v>
      </c>
      <c r="DS2052">
        <v>1</v>
      </c>
      <c r="EE2052">
        <v>1</v>
      </c>
      <c r="EQ2052">
        <v>1</v>
      </c>
      <c r="FC2052">
        <v>1</v>
      </c>
      <c r="FO2052">
        <v>1</v>
      </c>
      <c r="GA2052">
        <v>1</v>
      </c>
    </row>
    <row r="2053" spans="1:184" x14ac:dyDescent="0.25">
      <c r="A2053" t="s">
        <v>245</v>
      </c>
      <c r="B2053" t="s">
        <v>391</v>
      </c>
      <c r="C2053" s="3">
        <f t="shared" si="60"/>
        <v>21.016666666666666</v>
      </c>
      <c r="D2053" s="3">
        <f t="shared" si="61"/>
        <v>105.85</v>
      </c>
      <c r="E2053" t="s">
        <v>15</v>
      </c>
      <c r="F2053" t="s">
        <v>77</v>
      </c>
      <c r="G2053" t="s">
        <v>97</v>
      </c>
      <c r="I2053" t="s">
        <v>12</v>
      </c>
      <c r="J2053" t="s">
        <v>12</v>
      </c>
      <c r="K2053" t="s">
        <v>12</v>
      </c>
      <c r="L2053" t="s">
        <v>689</v>
      </c>
      <c r="M2053" t="s">
        <v>840</v>
      </c>
      <c r="O2053">
        <v>83</v>
      </c>
      <c r="CV2053">
        <v>1</v>
      </c>
      <c r="DH2053">
        <v>1</v>
      </c>
      <c r="DT2053">
        <v>1</v>
      </c>
      <c r="EF2053">
        <v>1</v>
      </c>
      <c r="ER2053">
        <v>1</v>
      </c>
      <c r="FD2053">
        <v>1</v>
      </c>
      <c r="FP2053">
        <v>1</v>
      </c>
      <c r="GB2053">
        <v>1</v>
      </c>
    </row>
    <row r="2054" spans="1:184" x14ac:dyDescent="0.25">
      <c r="A2054" t="s">
        <v>245</v>
      </c>
      <c r="B2054" t="s">
        <v>391</v>
      </c>
      <c r="C2054" s="3">
        <f t="shared" si="60"/>
        <v>21.016666666666666</v>
      </c>
      <c r="D2054" s="3">
        <f t="shared" si="61"/>
        <v>105.85</v>
      </c>
      <c r="E2054" t="s">
        <v>15</v>
      </c>
      <c r="F2054" t="s">
        <v>77</v>
      </c>
      <c r="G2054" t="s">
        <v>106</v>
      </c>
      <c r="I2054" t="s">
        <v>15</v>
      </c>
      <c r="J2054" t="s">
        <v>15</v>
      </c>
      <c r="K2054" t="s">
        <v>12</v>
      </c>
      <c r="L2054" t="s">
        <v>686</v>
      </c>
      <c r="M2054" t="s">
        <v>841</v>
      </c>
      <c r="O2054">
        <v>42</v>
      </c>
      <c r="P2054">
        <v>26</v>
      </c>
      <c r="CN2054">
        <v>0.25</v>
      </c>
      <c r="CO2054">
        <v>1</v>
      </c>
      <c r="CP2054">
        <v>1</v>
      </c>
      <c r="CQ2054">
        <v>1</v>
      </c>
      <c r="CR2054">
        <v>1</v>
      </c>
      <c r="CS2054">
        <v>1</v>
      </c>
      <c r="CT2054">
        <v>1</v>
      </c>
      <c r="CU2054">
        <v>1</v>
      </c>
      <c r="CV2054">
        <v>1</v>
      </c>
    </row>
    <row r="2055" spans="1:184" x14ac:dyDescent="0.25">
      <c r="A2055" t="s">
        <v>245</v>
      </c>
      <c r="B2055" t="s">
        <v>391</v>
      </c>
      <c r="C2055" s="3">
        <v>21.02</v>
      </c>
      <c r="D2055" s="3">
        <v>105.85</v>
      </c>
      <c r="E2055" t="s">
        <v>15</v>
      </c>
      <c r="F2055" t="s">
        <v>77</v>
      </c>
      <c r="G2055" t="s">
        <v>106</v>
      </c>
      <c r="I2055" t="s">
        <v>12</v>
      </c>
      <c r="J2055" t="s">
        <v>12</v>
      </c>
      <c r="K2055" t="s">
        <v>12</v>
      </c>
      <c r="L2055" t="s">
        <v>560</v>
      </c>
      <c r="M2055" t="s">
        <v>906</v>
      </c>
      <c r="O2055">
        <v>35.840000000000003</v>
      </c>
      <c r="P2055">
        <v>15.52</v>
      </c>
      <c r="CW2055">
        <v>1</v>
      </c>
      <c r="CX2055">
        <v>1</v>
      </c>
      <c r="CY2055">
        <v>1</v>
      </c>
      <c r="CZ2055">
        <v>1</v>
      </c>
      <c r="DA2055">
        <v>1</v>
      </c>
      <c r="DB2055">
        <v>1</v>
      </c>
      <c r="DC2055">
        <v>1</v>
      </c>
      <c r="DD2055">
        <v>1</v>
      </c>
      <c r="DE2055">
        <v>1</v>
      </c>
      <c r="DF2055">
        <v>1</v>
      </c>
      <c r="DG2055">
        <v>1</v>
      </c>
      <c r="DH2055">
        <v>1</v>
      </c>
      <c r="DI2055">
        <v>1</v>
      </c>
      <c r="DJ2055">
        <v>1</v>
      </c>
      <c r="DK2055">
        <v>1</v>
      </c>
      <c r="DL2055">
        <v>1</v>
      </c>
      <c r="DM2055">
        <v>1</v>
      </c>
      <c r="DN2055">
        <v>1</v>
      </c>
      <c r="DO2055">
        <v>1</v>
      </c>
      <c r="DP2055">
        <v>1</v>
      </c>
      <c r="DQ2055">
        <v>1</v>
      </c>
      <c r="DR2055">
        <v>1</v>
      </c>
      <c r="DS2055">
        <v>1</v>
      </c>
      <c r="DT2055">
        <v>1</v>
      </c>
      <c r="DU2055">
        <v>1</v>
      </c>
      <c r="DV2055">
        <v>1</v>
      </c>
      <c r="DW2055">
        <v>1</v>
      </c>
      <c r="DX2055">
        <v>1</v>
      </c>
      <c r="DY2055">
        <v>1</v>
      </c>
      <c r="DZ2055">
        <v>1</v>
      </c>
      <c r="EA2055">
        <v>1</v>
      </c>
      <c r="EB2055">
        <v>1</v>
      </c>
      <c r="EC2055">
        <v>1</v>
      </c>
      <c r="ED2055">
        <v>1</v>
      </c>
      <c r="EE2055">
        <v>1</v>
      </c>
      <c r="EF2055">
        <v>1</v>
      </c>
      <c r="EG2055">
        <v>1</v>
      </c>
      <c r="EH2055">
        <v>1</v>
      </c>
      <c r="EI2055">
        <v>1</v>
      </c>
      <c r="EJ2055">
        <v>1</v>
      </c>
      <c r="EK2055">
        <v>1</v>
      </c>
      <c r="EL2055">
        <v>1</v>
      </c>
      <c r="EM2055">
        <v>1</v>
      </c>
      <c r="EN2055">
        <v>1</v>
      </c>
      <c r="EO2055">
        <v>1</v>
      </c>
      <c r="EP2055">
        <v>1</v>
      </c>
      <c r="EQ2055">
        <v>1</v>
      </c>
      <c r="ER2055">
        <v>1</v>
      </c>
    </row>
    <row r="2056" spans="1:184" x14ac:dyDescent="0.25">
      <c r="A2056" t="s">
        <v>245</v>
      </c>
      <c r="B2056" t="s">
        <v>391</v>
      </c>
      <c r="C2056" s="3">
        <v>21.02</v>
      </c>
      <c r="D2056" s="3">
        <v>105.85</v>
      </c>
      <c r="E2056" t="s">
        <v>12</v>
      </c>
      <c r="F2056" t="s">
        <v>77</v>
      </c>
      <c r="G2056" t="s">
        <v>76</v>
      </c>
      <c r="H2056">
        <v>40</v>
      </c>
      <c r="I2056" t="s">
        <v>15</v>
      </c>
      <c r="J2056" t="s">
        <v>15</v>
      </c>
      <c r="K2056" t="s">
        <v>15</v>
      </c>
      <c r="L2056" t="s">
        <v>390</v>
      </c>
      <c r="M2056" t="s">
        <v>1002</v>
      </c>
      <c r="O2056">
        <v>33</v>
      </c>
      <c r="CO2056">
        <v>1</v>
      </c>
      <c r="CP2056">
        <v>1</v>
      </c>
      <c r="CQ2056">
        <v>1</v>
      </c>
      <c r="CR2056">
        <v>1</v>
      </c>
      <c r="CS2056">
        <v>1</v>
      </c>
      <c r="CT2056">
        <v>1</v>
      </c>
      <c r="DA2056">
        <v>1</v>
      </c>
      <c r="DB2056">
        <v>1</v>
      </c>
      <c r="DC2056">
        <v>1</v>
      </c>
      <c r="DD2056">
        <v>1</v>
      </c>
      <c r="DE2056">
        <v>1</v>
      </c>
      <c r="DF2056">
        <v>1</v>
      </c>
      <c r="DM2056">
        <v>1</v>
      </c>
      <c r="DN2056">
        <v>1</v>
      </c>
      <c r="DO2056">
        <v>1</v>
      </c>
      <c r="DP2056">
        <v>1</v>
      </c>
      <c r="DQ2056">
        <v>1</v>
      </c>
      <c r="DR2056">
        <v>1</v>
      </c>
      <c r="DY2056">
        <v>1</v>
      </c>
      <c r="DZ2056">
        <v>1</v>
      </c>
      <c r="EA2056">
        <v>1</v>
      </c>
      <c r="EB2056">
        <v>1</v>
      </c>
      <c r="EC2056">
        <v>1</v>
      </c>
      <c r="ED2056">
        <v>1</v>
      </c>
    </row>
    <row r="2057" spans="1:184" x14ac:dyDescent="0.25">
      <c r="A2057" t="s">
        <v>245</v>
      </c>
      <c r="B2057" t="s">
        <v>391</v>
      </c>
      <c r="C2057" s="3">
        <v>21.02</v>
      </c>
      <c r="D2057" s="3">
        <v>105.85</v>
      </c>
      <c r="E2057" t="s">
        <v>12</v>
      </c>
      <c r="F2057" t="s">
        <v>77</v>
      </c>
      <c r="G2057" t="s">
        <v>76</v>
      </c>
      <c r="H2057">
        <v>40</v>
      </c>
      <c r="I2057" t="s">
        <v>15</v>
      </c>
      <c r="J2057" t="s">
        <v>15</v>
      </c>
      <c r="K2057" t="s">
        <v>15</v>
      </c>
      <c r="L2057" t="s">
        <v>390</v>
      </c>
      <c r="M2057" t="s">
        <v>1002</v>
      </c>
      <c r="O2057">
        <v>124</v>
      </c>
      <c r="CK2057">
        <v>1</v>
      </c>
      <c r="CL2057">
        <v>1</v>
      </c>
      <c r="CM2057">
        <v>1</v>
      </c>
      <c r="CN2057">
        <v>1</v>
      </c>
      <c r="CU2057">
        <v>1</v>
      </c>
      <c r="CV2057">
        <v>1</v>
      </c>
      <c r="CW2057">
        <v>1</v>
      </c>
      <c r="CX2057">
        <v>1</v>
      </c>
      <c r="CY2057">
        <v>1</v>
      </c>
      <c r="CZ2057">
        <v>1</v>
      </c>
      <c r="DG2057">
        <v>1</v>
      </c>
      <c r="DH2057">
        <v>1</v>
      </c>
      <c r="DI2057">
        <v>1</v>
      </c>
      <c r="DJ2057">
        <v>1</v>
      </c>
      <c r="DK2057">
        <v>1</v>
      </c>
      <c r="DL2057">
        <v>1</v>
      </c>
      <c r="DS2057">
        <v>1</v>
      </c>
      <c r="DT2057">
        <v>1</v>
      </c>
      <c r="DU2057">
        <v>1</v>
      </c>
      <c r="DV2057">
        <v>1</v>
      </c>
      <c r="DW2057">
        <v>1</v>
      </c>
      <c r="DX2057">
        <v>1</v>
      </c>
      <c r="EE2057">
        <v>1</v>
      </c>
      <c r="EF2057">
        <v>1</v>
      </c>
    </row>
    <row r="2058" spans="1:184" x14ac:dyDescent="0.25">
      <c r="A2058" t="s">
        <v>498</v>
      </c>
      <c r="B2058" t="s">
        <v>499</v>
      </c>
      <c r="C2058" s="3">
        <v>-17.829999999999998</v>
      </c>
      <c r="D2058" s="3">
        <v>31.05</v>
      </c>
      <c r="E2058" t="s">
        <v>12</v>
      </c>
      <c r="F2058" t="s">
        <v>22</v>
      </c>
      <c r="G2058" t="s">
        <v>106</v>
      </c>
      <c r="I2058" t="s">
        <v>12</v>
      </c>
      <c r="J2058" t="s">
        <v>12</v>
      </c>
      <c r="K2058" t="s">
        <v>15</v>
      </c>
      <c r="L2058" t="s">
        <v>497</v>
      </c>
      <c r="M2058" t="s">
        <v>949</v>
      </c>
      <c r="O2058">
        <v>53.62</v>
      </c>
      <c r="DC2058">
        <v>1</v>
      </c>
    </row>
    <row r="2059" spans="1:184" x14ac:dyDescent="0.25">
      <c r="A2059" t="s">
        <v>498</v>
      </c>
      <c r="B2059" t="s">
        <v>499</v>
      </c>
      <c r="C2059" s="3">
        <v>-17.829999999999998</v>
      </c>
      <c r="D2059" s="3">
        <v>31.05</v>
      </c>
      <c r="E2059" t="s">
        <v>12</v>
      </c>
      <c r="F2059" t="s">
        <v>22</v>
      </c>
      <c r="G2059" t="s">
        <v>106</v>
      </c>
      <c r="I2059" t="s">
        <v>12</v>
      </c>
      <c r="J2059" t="s">
        <v>12</v>
      </c>
      <c r="K2059" t="s">
        <v>15</v>
      </c>
      <c r="L2059" t="s">
        <v>497</v>
      </c>
      <c r="M2059" t="s">
        <v>949</v>
      </c>
      <c r="O2059">
        <v>43.95</v>
      </c>
      <c r="DD2059">
        <v>1</v>
      </c>
    </row>
    <row r="2060" spans="1:184" x14ac:dyDescent="0.25">
      <c r="A2060" t="s">
        <v>498</v>
      </c>
      <c r="B2060" t="s">
        <v>499</v>
      </c>
      <c r="C2060" s="3">
        <v>-17.829999999999998</v>
      </c>
      <c r="D2060" s="3">
        <v>31.05</v>
      </c>
      <c r="E2060" t="s">
        <v>12</v>
      </c>
      <c r="F2060" t="s">
        <v>22</v>
      </c>
      <c r="G2060" t="s">
        <v>106</v>
      </c>
      <c r="I2060" t="s">
        <v>12</v>
      </c>
      <c r="J2060" t="s">
        <v>12</v>
      </c>
      <c r="K2060" t="s">
        <v>15</v>
      </c>
      <c r="L2060" t="s">
        <v>497</v>
      </c>
      <c r="M2060" t="s">
        <v>949</v>
      </c>
      <c r="O2060">
        <v>42.46</v>
      </c>
      <c r="DE2060">
        <v>1</v>
      </c>
    </row>
    <row r="2061" spans="1:184" x14ac:dyDescent="0.25">
      <c r="A2061" t="s">
        <v>498</v>
      </c>
      <c r="B2061" t="s">
        <v>499</v>
      </c>
      <c r="C2061" s="3">
        <v>-17.829999999999998</v>
      </c>
      <c r="D2061" s="3">
        <v>31.05</v>
      </c>
      <c r="E2061" t="s">
        <v>12</v>
      </c>
      <c r="F2061" t="s">
        <v>22</v>
      </c>
      <c r="G2061" t="s">
        <v>106</v>
      </c>
      <c r="I2061" t="s">
        <v>12</v>
      </c>
      <c r="J2061" t="s">
        <v>12</v>
      </c>
      <c r="K2061" t="s">
        <v>15</v>
      </c>
      <c r="L2061" t="s">
        <v>497</v>
      </c>
      <c r="M2061" t="s">
        <v>949</v>
      </c>
      <c r="O2061">
        <v>41.41</v>
      </c>
      <c r="DF2061">
        <v>1</v>
      </c>
    </row>
    <row r="2062" spans="1:184" x14ac:dyDescent="0.25">
      <c r="A2062" t="s">
        <v>498</v>
      </c>
      <c r="B2062" t="s">
        <v>499</v>
      </c>
      <c r="C2062" s="3">
        <v>-17.829999999999998</v>
      </c>
      <c r="D2062" s="3">
        <v>31.05</v>
      </c>
      <c r="E2062" t="s">
        <v>12</v>
      </c>
      <c r="F2062" t="s">
        <v>22</v>
      </c>
      <c r="G2062" t="s">
        <v>106</v>
      </c>
      <c r="I2062" t="s">
        <v>12</v>
      </c>
      <c r="J2062" t="s">
        <v>12</v>
      </c>
      <c r="K2062" t="s">
        <v>15</v>
      </c>
      <c r="L2062" t="s">
        <v>497</v>
      </c>
      <c r="M2062" t="s">
        <v>949</v>
      </c>
      <c r="O2062">
        <v>33.39</v>
      </c>
      <c r="DG2062">
        <v>1</v>
      </c>
    </row>
    <row r="2063" spans="1:184" x14ac:dyDescent="0.25">
      <c r="A2063" t="s">
        <v>498</v>
      </c>
      <c r="B2063" t="s">
        <v>499</v>
      </c>
      <c r="C2063" s="3">
        <v>-17.829999999999998</v>
      </c>
      <c r="D2063" s="3">
        <v>31.05</v>
      </c>
      <c r="E2063" t="s">
        <v>12</v>
      </c>
      <c r="F2063" t="s">
        <v>22</v>
      </c>
      <c r="G2063" t="s">
        <v>106</v>
      </c>
      <c r="I2063" t="s">
        <v>12</v>
      </c>
      <c r="J2063" t="s">
        <v>12</v>
      </c>
      <c r="K2063" t="s">
        <v>15</v>
      </c>
      <c r="L2063" t="s">
        <v>497</v>
      </c>
      <c r="M2063" t="s">
        <v>949</v>
      </c>
      <c r="O2063">
        <v>20.190000000000001</v>
      </c>
      <c r="DH2063">
        <v>1</v>
      </c>
    </row>
  </sheetData>
  <sortState ref="A4:IJ2063">
    <sortCondition ref="B3:B2063"/>
    <sortCondition ref="A3:A2063"/>
    <sortCondition ref="L3:L2063"/>
    <sortCondition ref="F3:F2063"/>
  </sortState>
  <mergeCells count="34">
    <mergeCell ref="CK1:CV1"/>
    <mergeCell ref="AO1:AZ1"/>
    <mergeCell ref="BA1:BL1"/>
    <mergeCell ref="AC1:AN1"/>
    <mergeCell ref="O1:P1"/>
    <mergeCell ref="Q1:AB1"/>
    <mergeCell ref="BM1:BX1"/>
    <mergeCell ref="BY1:CJ1"/>
    <mergeCell ref="A1:A2"/>
    <mergeCell ref="B1:B2"/>
    <mergeCell ref="C1:C2"/>
    <mergeCell ref="D1:D2"/>
    <mergeCell ref="E1:E2"/>
    <mergeCell ref="F1:F2"/>
    <mergeCell ref="H1:H2"/>
    <mergeCell ref="G1:G2"/>
    <mergeCell ref="N1:N2"/>
    <mergeCell ref="L1:L2"/>
    <mergeCell ref="J1:J2"/>
    <mergeCell ref="K1:K2"/>
    <mergeCell ref="I1:I2"/>
    <mergeCell ref="M1:M2"/>
    <mergeCell ref="HM1:HX1"/>
    <mergeCell ref="HY1:IJ1"/>
    <mergeCell ref="CW1:DH1"/>
    <mergeCell ref="DI1:DT1"/>
    <mergeCell ref="DU1:EF1"/>
    <mergeCell ref="EG1:ER1"/>
    <mergeCell ref="ES1:FD1"/>
    <mergeCell ref="FE1:FP1"/>
    <mergeCell ref="FQ1:GB1"/>
    <mergeCell ref="GC1:GN1"/>
    <mergeCell ref="GO1:GZ1"/>
    <mergeCell ref="HA1:HL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C9" sqref="C9"/>
    </sheetView>
  </sheetViews>
  <sheetFormatPr defaultRowHeight="15" x14ac:dyDescent="0.25"/>
  <cols>
    <col min="1" max="1" width="32.85546875" style="2" customWidth="1"/>
  </cols>
  <sheetData>
    <row r="1" spans="1:3" x14ac:dyDescent="0.25">
      <c r="A1" s="2" t="s">
        <v>14</v>
      </c>
      <c r="B1" t="s">
        <v>19</v>
      </c>
      <c r="C1" t="s">
        <v>46</v>
      </c>
    </row>
    <row r="2" spans="1:3" x14ac:dyDescent="0.25">
      <c r="B2" t="s">
        <v>20</v>
      </c>
      <c r="C2" t="s">
        <v>18</v>
      </c>
    </row>
    <row r="3" spans="1:3" x14ac:dyDescent="0.25">
      <c r="B3" t="s">
        <v>21</v>
      </c>
      <c r="C3" t="s">
        <v>36</v>
      </c>
    </row>
    <row r="4" spans="1:3" x14ac:dyDescent="0.25">
      <c r="B4" t="s">
        <v>34</v>
      </c>
      <c r="C4" t="s">
        <v>35</v>
      </c>
    </row>
    <row r="5" spans="1:3" x14ac:dyDescent="0.25">
      <c r="B5" t="s">
        <v>22</v>
      </c>
      <c r="C5" t="s">
        <v>23</v>
      </c>
    </row>
    <row r="6" spans="1:3" x14ac:dyDescent="0.25">
      <c r="B6" t="s">
        <v>8</v>
      </c>
      <c r="C6" t="s">
        <v>73</v>
      </c>
    </row>
    <row r="7" spans="1:3" x14ac:dyDescent="0.25">
      <c r="B7" t="s">
        <v>77</v>
      </c>
      <c r="C7" t="s">
        <v>78</v>
      </c>
    </row>
    <row r="8" spans="1:3" x14ac:dyDescent="0.25">
      <c r="B8" t="s">
        <v>9</v>
      </c>
      <c r="C8" t="s">
        <v>646</v>
      </c>
    </row>
    <row r="10" spans="1:3" x14ac:dyDescent="0.25">
      <c r="A10" s="2" t="s">
        <v>2</v>
      </c>
      <c r="B10" t="s">
        <v>15</v>
      </c>
      <c r="C10" t="s">
        <v>16</v>
      </c>
    </row>
    <row r="11" spans="1:3" x14ac:dyDescent="0.25">
      <c r="B11" t="s">
        <v>12</v>
      </c>
      <c r="C11" t="s">
        <v>17</v>
      </c>
    </row>
    <row r="12" spans="1:3" x14ac:dyDescent="0.25">
      <c r="B12" t="s">
        <v>34</v>
      </c>
      <c r="C12"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Definitions</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van Donkelaar</dc:creator>
  <cp:lastModifiedBy>Aaron van Donkelaar</cp:lastModifiedBy>
  <dcterms:created xsi:type="dcterms:W3CDTF">2013-10-17T19:08:41Z</dcterms:created>
  <dcterms:modified xsi:type="dcterms:W3CDTF">2014-09-25T13:35:16Z</dcterms:modified>
</cp:coreProperties>
</file>